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minimized="1" xWindow="600" yWindow="210" windowWidth="11100" windowHeight="6345" activeTab="0"/>
  </bookViews>
  <sheets>
    <sheet name="cost benchmark" sheetId="1" r:id="rId1"/>
    <sheet name="per line" sheetId="2" r:id="rId2"/>
    <sheet name="state" sheetId="3" r:id="rId3"/>
    <sheet name="study area" sheetId="4" r:id="rId4"/>
  </sheets>
  <definedNames>
    <definedName name="_xlnm.Print_Area" localSheetId="0">'cost benchmark'!$A$1:$Q$105</definedName>
    <definedName name="_xlnm.Print_Area" localSheetId="2">'state'!$A$1:$K$55</definedName>
    <definedName name="_xlnm.Print_Area" localSheetId="3">'study area'!$A$1:$M$95</definedName>
    <definedName name="_xlnm.Print_Titles" localSheetId="0">'cost benchmark'!$9:$12</definedName>
    <definedName name="_xlnm.Print_Titles" localSheetId="1">'per line'!$A:$E,'per line'!$5:$5</definedName>
    <definedName name="_xlnm.Print_Titles" localSheetId="2">'state'!$A:$A,'state'!$1:$1</definedName>
    <definedName name="_xlnm.Print_Titles" localSheetId="3">'study area'!$3:$3</definedName>
  </definedNames>
  <calcPr fullCalcOnLoad="1"/>
</workbook>
</file>

<file path=xl/sharedStrings.xml><?xml version="1.0" encoding="utf-8"?>
<sst xmlns="http://schemas.openxmlformats.org/spreadsheetml/2006/main" count="534" uniqueCount="198">
  <si>
    <t>Band I</t>
  </si>
  <si>
    <t>Band II</t>
  </si>
  <si>
    <t>Band III</t>
  </si>
  <si>
    <t>Federal Pay %</t>
  </si>
  <si>
    <t>State</t>
  </si>
  <si>
    <t>Current Support</t>
  </si>
  <si>
    <t>Annual $</t>
  </si>
  <si>
    <t>AL</t>
  </si>
  <si>
    <t>South Central Bell-Al</t>
  </si>
  <si>
    <t>AR</t>
  </si>
  <si>
    <t>Southwestern Bell-Arkansas</t>
  </si>
  <si>
    <t>AZ</t>
  </si>
  <si>
    <t>Mountain Bell-Arizona</t>
  </si>
  <si>
    <t>CA</t>
  </si>
  <si>
    <t>Contel Of California - California</t>
  </si>
  <si>
    <t>Pacific Bell</t>
  </si>
  <si>
    <t>Roseville Telephone Company</t>
  </si>
  <si>
    <t>CO</t>
  </si>
  <si>
    <t>Mountain Bell-Colorado</t>
  </si>
  <si>
    <t>CT</t>
  </si>
  <si>
    <t>Southern New England Tel</t>
  </si>
  <si>
    <t>DC</t>
  </si>
  <si>
    <t>DE</t>
  </si>
  <si>
    <t>Diamond State Tel Co</t>
  </si>
  <si>
    <t>FL</t>
  </si>
  <si>
    <t>Southern Bell-Fl</t>
  </si>
  <si>
    <t>GA</t>
  </si>
  <si>
    <t>Southern Bell-Ga</t>
  </si>
  <si>
    <t>HI</t>
  </si>
  <si>
    <t>IA</t>
  </si>
  <si>
    <t>Northwestern Bell-Ia</t>
  </si>
  <si>
    <t>ID</t>
  </si>
  <si>
    <t>Mountain Bell-Idaho</t>
  </si>
  <si>
    <t>IL</t>
  </si>
  <si>
    <t>Illinois Bell Tel Co</t>
  </si>
  <si>
    <t>IN</t>
  </si>
  <si>
    <t>Indiana Bell Tel Co</t>
  </si>
  <si>
    <t>KS</t>
  </si>
  <si>
    <t>Southwestern Bell-Kansas</t>
  </si>
  <si>
    <t>KY</t>
  </si>
  <si>
    <t>Cincinnati Bell-Ky</t>
  </si>
  <si>
    <t>South Central Bell-Ky</t>
  </si>
  <si>
    <t>LA</t>
  </si>
  <si>
    <t>South Central Bell-La</t>
  </si>
  <si>
    <t>MA</t>
  </si>
  <si>
    <t>New England Tel-Ma</t>
  </si>
  <si>
    <t>MD</t>
  </si>
  <si>
    <t>C And P Tel Co Of Md</t>
  </si>
  <si>
    <t>ME</t>
  </si>
  <si>
    <t>New England Tel-Maine</t>
  </si>
  <si>
    <t>MI</t>
  </si>
  <si>
    <t>Michigan Bell Tel Co</t>
  </si>
  <si>
    <t>MN</t>
  </si>
  <si>
    <t>Northwestern Bell-Minnesota</t>
  </si>
  <si>
    <t>MO</t>
  </si>
  <si>
    <t>Southwestern Bell-Missouri</t>
  </si>
  <si>
    <t>MS</t>
  </si>
  <si>
    <t>South Central Bell-Mississippi</t>
  </si>
  <si>
    <t>MT</t>
  </si>
  <si>
    <t>Mountain Bell-Montana</t>
  </si>
  <si>
    <t>NC</t>
  </si>
  <si>
    <t>Carolina Tel And Tel Co</t>
  </si>
  <si>
    <t>Central Tel Co-Nc</t>
  </si>
  <si>
    <t>North State Tel Co-Nc</t>
  </si>
  <si>
    <t>Southern Bell-Nc</t>
  </si>
  <si>
    <t>ND</t>
  </si>
  <si>
    <t>Northwestern Bell-North Dakota</t>
  </si>
  <si>
    <t>NE</t>
  </si>
  <si>
    <t>Aliant</t>
  </si>
  <si>
    <t>Northwestern Bell-Nebraska</t>
  </si>
  <si>
    <t>NH</t>
  </si>
  <si>
    <t>New England Tel-Nh</t>
  </si>
  <si>
    <t>NJ</t>
  </si>
  <si>
    <t>New Jersey Bell</t>
  </si>
  <si>
    <t>NM</t>
  </si>
  <si>
    <t>Mountain Bell-New Mexico</t>
  </si>
  <si>
    <t>NV</t>
  </si>
  <si>
    <t>Central Telephone Company - Nevada</t>
  </si>
  <si>
    <t>Nevada Bell</t>
  </si>
  <si>
    <t>NY</t>
  </si>
  <si>
    <t>New York Tel</t>
  </si>
  <si>
    <t>Rochester Telephone Corp</t>
  </si>
  <si>
    <t>OH</t>
  </si>
  <si>
    <t>Cincinnati Bell-Ohio</t>
  </si>
  <si>
    <t>Ohio Bell Tel Co</t>
  </si>
  <si>
    <t>United Tel Co Of Ohio</t>
  </si>
  <si>
    <t>OK</t>
  </si>
  <si>
    <t>Southwestern Bell-Oklahoma</t>
  </si>
  <si>
    <t>OR</t>
  </si>
  <si>
    <t>Pacific Northwest Bell-Oregon</t>
  </si>
  <si>
    <t>PA</t>
  </si>
  <si>
    <t>Bell Of Pennsylvania</t>
  </si>
  <si>
    <t>RI</t>
  </si>
  <si>
    <t>New England Tel-Ri</t>
  </si>
  <si>
    <t>SC</t>
  </si>
  <si>
    <t>Southern Bell-Sc</t>
  </si>
  <si>
    <t>SD</t>
  </si>
  <si>
    <t>Northwestern Bell-South Dakota</t>
  </si>
  <si>
    <t>TN</t>
  </si>
  <si>
    <t>South Central Bell-Tn</t>
  </si>
  <si>
    <t>United Inter-Mountain Tel Co-Tn</t>
  </si>
  <si>
    <t>TX</t>
  </si>
  <si>
    <t>Central Telephone Company Of Texas</t>
  </si>
  <si>
    <t>Southwestern Bell-Texas</t>
  </si>
  <si>
    <t>UT</t>
  </si>
  <si>
    <t>Mountain Bell-Utah</t>
  </si>
  <si>
    <t>VA</t>
  </si>
  <si>
    <t>C And P Tel Co Of Va</t>
  </si>
  <si>
    <t>Central Tel Co Of Va</t>
  </si>
  <si>
    <t>United Inter-Mountain Tel Co-Va</t>
  </si>
  <si>
    <t>VT</t>
  </si>
  <si>
    <t>New England Tel-Vt</t>
  </si>
  <si>
    <t>WA</t>
  </si>
  <si>
    <t>Pacific Northwest Bell-Washington</t>
  </si>
  <si>
    <t>WI</t>
  </si>
  <si>
    <t>Wisconsin Bell</t>
  </si>
  <si>
    <t>WV</t>
  </si>
  <si>
    <t>C And P Tel Co Of W Va</t>
  </si>
  <si>
    <t>WY</t>
  </si>
  <si>
    <t>Mountain Bell-Wyoming</t>
  </si>
  <si>
    <t>(C)*(D)</t>
  </si>
  <si>
    <t>Total</t>
  </si>
  <si>
    <t>AK*</t>
  </si>
  <si>
    <t>PR*</t>
  </si>
  <si>
    <t>Benchmark</t>
  </si>
  <si>
    <t>Sprint-FL</t>
  </si>
  <si>
    <t>Study Area</t>
  </si>
  <si>
    <t>Hold Harmless Carrier by Carrier</t>
  </si>
  <si>
    <t>State by State Step 1</t>
  </si>
  <si>
    <t>State by State Step 2</t>
  </si>
  <si>
    <t>State by State Step 3</t>
  </si>
  <si>
    <t>State by State Step 4</t>
  </si>
  <si>
    <t>Difference between State and Carrier Support</t>
  </si>
  <si>
    <t>Net Forward Looking Support</t>
  </si>
  <si>
    <t>Current</t>
  </si>
  <si>
    <t>Forwarding Looking Support</t>
  </si>
  <si>
    <t>Support, if Hold Harmless, Carrier by Carrier</t>
  </si>
  <si>
    <t>C And P Telephone Company Of DC</t>
  </si>
  <si>
    <t>GTE Hawaiian Telephone Co Inc</t>
  </si>
  <si>
    <t>GTE Of Illinois</t>
  </si>
  <si>
    <t>GTE Of Indiana</t>
  </si>
  <si>
    <t>GTE South Inc - Kentucky</t>
  </si>
  <si>
    <t>GTE North Inc-Mi</t>
  </si>
  <si>
    <t>GTE North Inc - Missouri</t>
  </si>
  <si>
    <t>GTE South Inc - North Carolina</t>
  </si>
  <si>
    <t>GTE North Inc-Oh</t>
  </si>
  <si>
    <t>GTE Southwest Inc - Oklahoma</t>
  </si>
  <si>
    <t>GTE Of The Northwest</t>
  </si>
  <si>
    <t>GTE North Inc-Pa And Contel</t>
  </si>
  <si>
    <t>GTE South Inc - South Carolina</t>
  </si>
  <si>
    <t>GTE Southwest Inc - Texas</t>
  </si>
  <si>
    <t>GTE Northwest Inc - Washington</t>
  </si>
  <si>
    <t>GTE North Inc-Wi</t>
  </si>
  <si>
    <t>GTE And Contel Of Alabama</t>
  </si>
  <si>
    <t>GTE Of  California</t>
  </si>
  <si>
    <t>Contel Of Illinois Inc DBA GTE - Illinois</t>
  </si>
  <si>
    <t>Contel Of Indiana Inc DBA GTE - Indiana</t>
  </si>
  <si>
    <t>Contel Of Minnesota Inc DBA GTE Minnesota</t>
  </si>
  <si>
    <t>Contel Missouri DBA GTE Missouri</t>
  </si>
  <si>
    <t>Contel Of North Carolina DBA GTE No Carolina</t>
  </si>
  <si>
    <t>Contel Of Texas Inc DBA GTE Texas</t>
  </si>
  <si>
    <t>Contel Of Virginia Inc DBA GTE Virginia</t>
  </si>
  <si>
    <t>Contel Of The South DBA GTE South</t>
  </si>
  <si>
    <t>GTE FLorida</t>
  </si>
  <si>
    <t>Southern Bell-FL</t>
  </si>
  <si>
    <t>State per Line Responsibility:</t>
  </si>
  <si>
    <t>Forward Looking</t>
  </si>
  <si>
    <t>State Responsibility</t>
  </si>
  <si>
    <t>State Lines</t>
  </si>
  <si>
    <t>State Avg. Cost</t>
  </si>
  <si>
    <t>Switched Lines</t>
  </si>
  <si>
    <t>Hold Harmless - By State</t>
  </si>
  <si>
    <t>Hold Harmless - By Carrier</t>
  </si>
  <si>
    <t>State by State Carrier Calculation Column 1</t>
  </si>
  <si>
    <t>State by State Carrier Calculation Column 2</t>
  </si>
  <si>
    <t>Actual 1-1-2000 Federal Support, If Hold Harmless - By State</t>
  </si>
  <si>
    <t>Actual 1-1-2000 Federal Support, If Hold Harmless - By Carrier</t>
  </si>
  <si>
    <t>Avg Monthly Cost per Line</t>
  </si>
  <si>
    <t>All Switched Lines</t>
  </si>
  <si>
    <t>$ / Line / Mo.</t>
  </si>
  <si>
    <t>Average/Total</t>
  </si>
  <si>
    <t>Band IV</t>
  </si>
  <si>
    <t>GTE Floridainc</t>
  </si>
  <si>
    <t>Contel Of Illinois Inc Dba GTE - Illinois</t>
  </si>
  <si>
    <t>Contel Of Indiana Inc Dba GTE - Indiana</t>
  </si>
  <si>
    <t>Contel Of Minnesota Inc Dba GTE Minnesota</t>
  </si>
  <si>
    <t>Contel Missouri Dba GTE Missouri</t>
  </si>
  <si>
    <t>Contel Of North Carolina Dba GTE No Carolina</t>
  </si>
  <si>
    <t>Contel Of Texas Inc Dba GTE Texas</t>
  </si>
  <si>
    <t>Contel Of Virginia Inc Dba GTE Virginia</t>
  </si>
  <si>
    <t>Contel Of The South Dba GTE South</t>
  </si>
  <si>
    <t>Support, if Hold Harmless, State by State *</t>
  </si>
  <si>
    <t>* The allocation of support among carriers in columns H through L is estimated using a variation of the method proposed in the</t>
  </si>
  <si>
    <r>
      <t>High Cost Methodology Order and Notice</t>
    </r>
    <r>
      <rPr>
        <sz val="10"/>
        <rFont val="Arial"/>
        <family val="0"/>
      </rPr>
      <t xml:space="preserve"> FCC 99-119 (rel. May 28, 1999) at para. 120, which produces the same results</t>
    </r>
  </si>
  <si>
    <t>Enter State Per Line Responsibility in Row 3, Column D.</t>
  </si>
  <si>
    <t>All Bands</t>
  </si>
  <si>
    <t>$ /Line / Mo.</t>
  </si>
  <si>
    <t>Percentage of State Total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</si>
</sst>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quot;$&quot;#,##0.00"/>
  </numFmts>
  <fonts count="5">
    <font>
      <sz val="10"/>
      <name val="Arial"/>
      <family val="0"/>
    </font>
    <font>
      <sz val="9"/>
      <color indexed="8"/>
      <name val="Arial"/>
      <family val="2"/>
    </font>
    <font>
      <sz val="9"/>
      <name val="Arial"/>
      <family val="2"/>
    </font>
    <font>
      <sz val="10"/>
      <color indexed="8"/>
      <name val="Arial"/>
      <family val="2"/>
    </font>
    <font>
      <u val="single"/>
      <sz val="10"/>
      <name val="Arial"/>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1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164" fontId="1" fillId="0" borderId="0" xfId="15" applyNumberFormat="1" applyFont="1" applyAlignment="1">
      <alignment/>
    </xf>
    <xf numFmtId="0" fontId="1" fillId="0" borderId="0" xfId="0" applyFont="1" applyAlignment="1">
      <alignment wrapText="1"/>
    </xf>
    <xf numFmtId="0" fontId="1" fillId="0" borderId="1" xfId="0" applyFont="1" applyBorder="1" applyAlignment="1">
      <alignment horizontal="center" wrapText="1"/>
    </xf>
    <xf numFmtId="164" fontId="1" fillId="0" borderId="0" xfId="15" applyNumberFormat="1" applyFont="1" applyAlignment="1">
      <alignment wrapText="1"/>
    </xf>
    <xf numFmtId="9" fontId="1" fillId="0" borderId="1" xfId="19" applyFont="1" applyBorder="1" applyAlignment="1">
      <alignment/>
    </xf>
    <xf numFmtId="0" fontId="1" fillId="0" borderId="1" xfId="0" applyFont="1" applyBorder="1" applyAlignment="1">
      <alignment wrapText="1"/>
    </xf>
    <xf numFmtId="164" fontId="1" fillId="0" borderId="1" xfId="15" applyNumberFormat="1" applyFont="1" applyBorder="1" applyAlignment="1">
      <alignment horizontal="center" wrapText="1"/>
    </xf>
    <xf numFmtId="0" fontId="2" fillId="0" borderId="1" xfId="0" applyFont="1" applyBorder="1" applyAlignment="1">
      <alignment wrapText="1"/>
    </xf>
    <xf numFmtId="0" fontId="1" fillId="0" borderId="1" xfId="0" applyFont="1" applyBorder="1" applyAlignment="1">
      <alignment/>
    </xf>
    <xf numFmtId="9" fontId="1" fillId="0" borderId="1" xfId="19" applyFont="1" applyBorder="1" applyAlignment="1">
      <alignment horizontal="left"/>
    </xf>
    <xf numFmtId="164" fontId="0" fillId="0" borderId="0" xfId="15" applyNumberFormat="1" applyAlignment="1">
      <alignment/>
    </xf>
    <xf numFmtId="164" fontId="2" fillId="0" borderId="1" xfId="15" applyNumberFormat="1" applyFont="1" applyBorder="1" applyAlignment="1">
      <alignment horizontal="center" wrapText="1"/>
    </xf>
    <xf numFmtId="164" fontId="0" fillId="0" borderId="0" xfId="0" applyNumberFormat="1" applyAlignment="1">
      <alignment/>
    </xf>
    <xf numFmtId="43" fontId="0" fillId="0" borderId="0" xfId="0" applyNumberFormat="1" applyAlignment="1">
      <alignment/>
    </xf>
    <xf numFmtId="0" fontId="0" fillId="0" borderId="0" xfId="0" applyAlignment="1">
      <alignment wrapText="1"/>
    </xf>
    <xf numFmtId="164" fontId="0" fillId="0" borderId="0" xfId="15" applyNumberFormat="1" applyFont="1" applyAlignment="1">
      <alignment/>
    </xf>
    <xf numFmtId="0" fontId="0" fillId="0" borderId="0" xfId="0" applyAlignment="1">
      <alignment horizontal="center"/>
    </xf>
    <xf numFmtId="0" fontId="0" fillId="0" borderId="1" xfId="0" applyBorder="1" applyAlignment="1">
      <alignment/>
    </xf>
    <xf numFmtId="0" fontId="2" fillId="0" borderId="1" xfId="0" applyFont="1" applyBorder="1" applyAlignment="1">
      <alignment horizontal="center" wrapText="1"/>
    </xf>
    <xf numFmtId="0" fontId="0" fillId="0" borderId="1" xfId="0" applyBorder="1" applyAlignment="1">
      <alignment horizontal="center" wrapText="1"/>
    </xf>
    <xf numFmtId="164" fontId="0" fillId="0" borderId="1" xfId="15" applyNumberFormat="1" applyFont="1" applyBorder="1" applyAlignment="1">
      <alignment horizontal="center" wrapText="1"/>
    </xf>
    <xf numFmtId="166" fontId="0" fillId="0" borderId="1" xfId="17" applyNumberFormat="1" applyFont="1" applyBorder="1" applyAlignment="1">
      <alignment horizontal="center" wrapText="1"/>
    </xf>
    <xf numFmtId="0" fontId="1" fillId="0" borderId="1" xfId="0" applyFont="1" applyBorder="1" applyAlignment="1">
      <alignment horizontal="center"/>
    </xf>
    <xf numFmtId="0" fontId="2" fillId="0" borderId="1" xfId="0" applyFont="1" applyBorder="1" applyAlignment="1">
      <alignment/>
    </xf>
    <xf numFmtId="164" fontId="0" fillId="0" borderId="1" xfId="15" applyNumberFormat="1" applyBorder="1" applyAlignment="1">
      <alignment/>
    </xf>
    <xf numFmtId="164" fontId="0" fillId="0" borderId="1" xfId="0" applyNumberFormat="1" applyBorder="1" applyAlignment="1">
      <alignment/>
    </xf>
    <xf numFmtId="167" fontId="0" fillId="2" borderId="1" xfId="0" applyNumberFormat="1" applyFill="1" applyBorder="1" applyAlignment="1">
      <alignment/>
    </xf>
    <xf numFmtId="0" fontId="0" fillId="0" borderId="0" xfId="0" applyAlignment="1" quotePrefix="1">
      <alignment horizontal="center" wrapText="1"/>
    </xf>
    <xf numFmtId="164" fontId="0" fillId="0" borderId="0" xfId="15" applyNumberFormat="1" applyFont="1" applyAlignment="1">
      <alignment horizontal="center" wrapText="1"/>
    </xf>
    <xf numFmtId="0" fontId="0" fillId="0" borderId="0" xfId="0" applyAlignment="1">
      <alignment horizontal="center" wrapText="1"/>
    </xf>
    <xf numFmtId="0" fontId="0" fillId="0" borderId="1" xfId="0" applyBorder="1" applyAlignment="1" quotePrefix="1">
      <alignment horizontal="center" wrapText="1"/>
    </xf>
    <xf numFmtId="0" fontId="3" fillId="0" borderId="1" xfId="0" applyFont="1" applyBorder="1" applyAlignment="1">
      <alignment horizontal="left"/>
    </xf>
    <xf numFmtId="44" fontId="0" fillId="0" borderId="1" xfId="17" applyFont="1" applyBorder="1" applyAlignment="1">
      <alignment/>
    </xf>
    <xf numFmtId="164" fontId="0" fillId="0" borderId="1" xfId="15" applyNumberFormat="1" applyFont="1" applyBorder="1" applyAlignment="1">
      <alignment/>
    </xf>
    <xf numFmtId="166" fontId="0" fillId="0" borderId="1" xfId="17" applyNumberFormat="1" applyFont="1" applyBorder="1" applyAlignment="1" quotePrefix="1">
      <alignment/>
    </xf>
    <xf numFmtId="166" fontId="0" fillId="0" borderId="1" xfId="17" applyNumberFormat="1" applyBorder="1" applyAlignment="1">
      <alignment/>
    </xf>
    <xf numFmtId="166" fontId="0" fillId="0" borderId="1" xfId="0" applyNumberFormat="1" applyBorder="1" applyAlignment="1">
      <alignment/>
    </xf>
    <xf numFmtId="166" fontId="0" fillId="3" borderId="1" xfId="17" applyNumberFormat="1" applyFill="1" applyBorder="1" applyAlignment="1">
      <alignment/>
    </xf>
    <xf numFmtId="9" fontId="1" fillId="2" borderId="1" xfId="19" applyFont="1" applyFill="1" applyBorder="1" applyAlignment="1">
      <alignment/>
    </xf>
    <xf numFmtId="164" fontId="1" fillId="0" borderId="1" xfId="15" applyNumberFormat="1" applyFont="1" applyBorder="1" applyAlignment="1">
      <alignment/>
    </xf>
    <xf numFmtId="0" fontId="0" fillId="0" borderId="1" xfId="0" applyBorder="1" applyAlignment="1">
      <alignment horizontal="centerContinuous"/>
    </xf>
    <xf numFmtId="0" fontId="2" fillId="0" borderId="1" xfId="0" applyFont="1" applyBorder="1" applyAlignment="1">
      <alignment horizontal="centerContinuous" wrapText="1"/>
    </xf>
    <xf numFmtId="43" fontId="1" fillId="0" borderId="1" xfId="0" applyNumberFormat="1" applyFont="1" applyBorder="1" applyAlignment="1">
      <alignment/>
    </xf>
    <xf numFmtId="44" fontId="1" fillId="0" borderId="1" xfId="17" applyFont="1" applyBorder="1" applyAlignment="1">
      <alignment/>
    </xf>
    <xf numFmtId="44" fontId="0" fillId="0" borderId="1" xfId="17" applyBorder="1" applyAlignment="1">
      <alignment/>
    </xf>
    <xf numFmtId="9" fontId="0" fillId="0" borderId="1" xfId="19" applyBorder="1" applyAlignment="1">
      <alignment/>
    </xf>
    <xf numFmtId="43" fontId="0" fillId="0" borderId="1" xfId="15" applyBorder="1" applyAlignment="1">
      <alignment/>
    </xf>
    <xf numFmtId="0" fontId="0" fillId="0" borderId="0" xfId="0" applyBorder="1" applyAlignment="1">
      <alignment/>
    </xf>
    <xf numFmtId="0" fontId="0" fillId="0" borderId="1" xfId="0"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4" fillId="0" borderId="0" xfId="0" applyFont="1" applyBorder="1" applyAlignment="1">
      <alignment horizontal="left"/>
    </xf>
    <xf numFmtId="43" fontId="0" fillId="0" borderId="1" xfId="15" applyFont="1" applyBorder="1" applyAlignment="1">
      <alignment/>
    </xf>
    <xf numFmtId="164" fontId="0" fillId="0" borderId="1" xfId="15" applyNumberFormat="1" applyFont="1" applyBorder="1" applyAlignment="1">
      <alignment/>
    </xf>
    <xf numFmtId="0" fontId="0" fillId="0" borderId="1" xfId="0" applyFont="1" applyBorder="1" applyAlignment="1">
      <alignment/>
    </xf>
    <xf numFmtId="0" fontId="1" fillId="0" borderId="1" xfId="0" applyFont="1" applyBorder="1" applyAlignment="1">
      <alignment horizontal="left" wrapText="1"/>
    </xf>
    <xf numFmtId="0" fontId="1" fillId="0" borderId="1" xfId="0" applyFont="1" applyBorder="1" applyAlignment="1">
      <alignment horizontal="left"/>
    </xf>
    <xf numFmtId="0" fontId="0" fillId="0" borderId="0" xfId="0" applyAlignment="1">
      <alignment horizontal="centerContinuous"/>
    </xf>
    <xf numFmtId="9" fontId="1" fillId="4" borderId="1" xfId="19"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2028825</xdr:colOff>
      <xdr:row>118</xdr:row>
      <xdr:rowOff>19050</xdr:rowOff>
    </xdr:from>
    <xdr:ext cx="76200" cy="200025"/>
    <xdr:sp>
      <xdr:nvSpPr>
        <xdr:cNvPr id="1" name="TextBox 2"/>
        <xdr:cNvSpPr txBox="1">
          <a:spLocks noChangeArrowheads="1"/>
        </xdr:cNvSpPr>
      </xdr:nvSpPr>
      <xdr:spPr>
        <a:xfrm>
          <a:off x="2381250" y="19307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0</xdr:row>
      <xdr:rowOff>0</xdr:rowOff>
    </xdr:from>
    <xdr:ext cx="7734300" cy="1295400"/>
    <xdr:sp>
      <xdr:nvSpPr>
        <xdr:cNvPr id="2" name="TextBox 1"/>
        <xdr:cNvSpPr txBox="1">
          <a:spLocks noChangeArrowheads="1"/>
        </xdr:cNvSpPr>
      </xdr:nvSpPr>
      <xdr:spPr>
        <a:xfrm>
          <a:off x="0" y="0"/>
          <a:ext cx="7734300" cy="1295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Note:  There always must be values in band IV for the spreadsheet to calculate support properly.  If you choose to calculate support using a single benchmark, use band IV, and enter a cost benchmark greater than 100% in cell N10 and a federal support amount of 100% or less in N11.  If you choose to use a step function with different cost benchmarks, place the cost benchmark values left to right in ascending order.  For example, if you were to estimate support based upon the current high cost mechanism for large carriers, pursuant to section 36.631(d) of the Commission's rules, you would enter 115% in H10, 10% in H11, 160% in J10, 30% in J11, 200% in L10, 60% in L11, 250% in N10, and 75% in N11.  If you choose a step function with fewer than four bands, use bands II, III, and IV, or III and IV.  For example, if you were to estimate support based upon a benchmark and a super-benchmark, you would enter the benchmark in L10, the super-benchmark in N10, and the federal support percentages in L11 and N11.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9:T112"/>
  <sheetViews>
    <sheetView tabSelected="1" workbookViewId="0" topLeftCell="A1">
      <selection activeCell="Q12" sqref="Q12"/>
    </sheetView>
  </sheetViews>
  <sheetFormatPr defaultColWidth="9.140625" defaultRowHeight="12.75"/>
  <cols>
    <col min="1" max="1" width="5.28125" style="0" customWidth="1"/>
    <col min="2" max="2" width="33.421875" style="0" customWidth="1"/>
    <col min="3" max="3" width="8.140625" style="0" customWidth="1"/>
    <col min="4" max="4" width="14.421875" style="12" customWidth="1"/>
    <col min="5" max="5" width="15.8515625" style="0" customWidth="1"/>
    <col min="6" max="6" width="14.140625" style="0" customWidth="1"/>
    <col min="7" max="7" width="11.8515625" style="0" customWidth="1"/>
    <col min="8" max="8" width="14.57421875" style="0" customWidth="1"/>
    <col min="9" max="9" width="12.28125" style="0" customWidth="1"/>
    <col min="10" max="10" width="14.57421875" style="0" customWidth="1"/>
    <col min="11" max="11" width="12.140625" style="0" customWidth="1"/>
    <col min="12" max="12" width="14.7109375" style="0" customWidth="1"/>
    <col min="13" max="13" width="13.00390625" style="0" customWidth="1"/>
    <col min="14" max="14" width="14.7109375" style="0" customWidth="1"/>
    <col min="15" max="15" width="13.28125" style="0" customWidth="1"/>
    <col min="16" max="16" width="14.7109375" style="0" customWidth="1"/>
    <col min="17" max="17" width="11.28125" style="0" customWidth="1"/>
  </cols>
  <sheetData>
    <row r="1" ht="12.75"/>
    <row r="2" ht="12.75"/>
    <row r="3" ht="12.75"/>
    <row r="4" ht="12.75"/>
    <row r="5" ht="12.75"/>
    <row r="6" ht="12.75"/>
    <row r="7" ht="12.75"/>
    <row r="8" ht="12.75"/>
    <row r="9" spans="4:16" ht="12.75">
      <c r="D9"/>
      <c r="G9" s="59" t="s">
        <v>0</v>
      </c>
      <c r="H9" s="59"/>
      <c r="I9" s="59" t="s">
        <v>1</v>
      </c>
      <c r="J9" s="59"/>
      <c r="K9" s="59" t="s">
        <v>2</v>
      </c>
      <c r="L9" s="59"/>
      <c r="M9" s="59" t="s">
        <v>181</v>
      </c>
      <c r="N9" s="59"/>
      <c r="O9" s="42" t="s">
        <v>195</v>
      </c>
      <c r="P9" s="42"/>
    </row>
    <row r="10" spans="1:20" s="1" customFormat="1" ht="13.5" customHeight="1">
      <c r="A10" s="24"/>
      <c r="B10" s="10"/>
      <c r="C10" s="43"/>
      <c r="D10" s="41"/>
      <c r="E10" s="44"/>
      <c r="F10" s="45"/>
      <c r="G10" s="57" t="s">
        <v>124</v>
      </c>
      <c r="H10" s="40">
        <v>0</v>
      </c>
      <c r="I10" s="57" t="s">
        <v>124</v>
      </c>
      <c r="J10" s="40">
        <v>0</v>
      </c>
      <c r="K10" s="57" t="s">
        <v>124</v>
      </c>
      <c r="L10" s="40">
        <v>0</v>
      </c>
      <c r="M10" s="57" t="s">
        <v>124</v>
      </c>
      <c r="N10" s="60">
        <v>0</v>
      </c>
      <c r="O10" s="11"/>
      <c r="P10" s="10"/>
      <c r="Q10" s="10"/>
      <c r="T10" s="2"/>
    </row>
    <row r="11" spans="1:20" s="1" customFormat="1" ht="12.75" customHeight="1">
      <c r="A11" s="24"/>
      <c r="B11" s="10"/>
      <c r="C11" s="10"/>
      <c r="D11" s="41"/>
      <c r="E11" s="10"/>
      <c r="F11" s="41"/>
      <c r="G11" s="58" t="s">
        <v>3</v>
      </c>
      <c r="H11" s="40">
        <v>0</v>
      </c>
      <c r="I11" s="58" t="s">
        <v>3</v>
      </c>
      <c r="J11" s="40">
        <v>0</v>
      </c>
      <c r="K11" s="58" t="s">
        <v>3</v>
      </c>
      <c r="L11" s="40">
        <v>0</v>
      </c>
      <c r="M11" s="58" t="s">
        <v>3</v>
      </c>
      <c r="N11" s="60">
        <v>0</v>
      </c>
      <c r="O11" s="6"/>
      <c r="P11" s="10"/>
      <c r="Q11" s="10"/>
      <c r="T11" s="2"/>
    </row>
    <row r="12" spans="1:20" s="3" customFormat="1" ht="26.25" customHeight="1">
      <c r="A12" s="4" t="s">
        <v>4</v>
      </c>
      <c r="B12" s="9" t="s">
        <v>126</v>
      </c>
      <c r="C12" s="20" t="s">
        <v>177</v>
      </c>
      <c r="D12" s="13" t="s">
        <v>178</v>
      </c>
      <c r="E12" s="4" t="s">
        <v>120</v>
      </c>
      <c r="F12" s="8" t="s">
        <v>5</v>
      </c>
      <c r="G12" s="4" t="s">
        <v>179</v>
      </c>
      <c r="H12" s="4" t="s">
        <v>6</v>
      </c>
      <c r="I12" s="4" t="s">
        <v>179</v>
      </c>
      <c r="J12" s="4" t="s">
        <v>6</v>
      </c>
      <c r="K12" s="4" t="s">
        <v>179</v>
      </c>
      <c r="L12" s="4" t="s">
        <v>6</v>
      </c>
      <c r="M12" s="4" t="s">
        <v>179</v>
      </c>
      <c r="N12" s="4" t="s">
        <v>6</v>
      </c>
      <c r="O12" s="4" t="s">
        <v>196</v>
      </c>
      <c r="P12" s="4" t="s">
        <v>6</v>
      </c>
      <c r="Q12" s="7" t="s">
        <v>197</v>
      </c>
      <c r="T12" s="5"/>
    </row>
    <row r="13" spans="1:17" ht="12.75">
      <c r="A13" s="19" t="s">
        <v>7</v>
      </c>
      <c r="B13" s="19" t="s">
        <v>190</v>
      </c>
      <c r="C13" s="54">
        <v>57.2</v>
      </c>
      <c r="D13" s="55">
        <v>118851</v>
      </c>
      <c r="E13" s="26">
        <f>D13*C13</f>
        <v>6798277.2</v>
      </c>
      <c r="F13" s="26">
        <v>4359444</v>
      </c>
      <c r="G13" s="46">
        <f aca="true" t="shared" si="0" ref="G13:G75">H13/D13/12</f>
        <v>0</v>
      </c>
      <c r="H13" s="41">
        <f aca="true" t="shared" si="1" ref="H13:H44">IF(AND($C13&gt;$H$10*$C$105,$C13&lt;$J$10*$C$105),($C13-$H$10*$C$105)*$H$11*12*$D13,IF($C13&gt;$J$10*$C$105,($J$10-$H$10)*$C$105*$H$11*12*$D13,0))</f>
        <v>0</v>
      </c>
      <c r="I13" s="46">
        <f aca="true" t="shared" si="2" ref="I13:I44">J13/D13/12</f>
        <v>0</v>
      </c>
      <c r="J13" s="41">
        <f aca="true" t="shared" si="3" ref="J13:J44">IF(AND($C13&gt;$J$10*$C$105,$C13&lt;$L$10*$C$105),($C13-$J$10*$C$105)*$J$11*12*$D13,IF($C13&gt;$L$10*$C$105,($L$10-$J$10)*$C$105*$J$11*12*$D13,0))</f>
        <v>0</v>
      </c>
      <c r="K13" s="46">
        <f>L13/D13/12</f>
        <v>0</v>
      </c>
      <c r="L13" s="41">
        <f aca="true" t="shared" si="4" ref="L13:L44">IF(AND($C13&gt;$L$10*$C$105,$C13&lt;$N$10*$C$105),($C13-$L$10*$C$105)*$L$11*12*$D13,IF($C13&gt;$N$10*$C$105,($N$10-$L$10)*$C$105*$L$11*12*$D13,0))</f>
        <v>0</v>
      </c>
      <c r="M13" s="46">
        <f>N13/D13/12</f>
        <v>0</v>
      </c>
      <c r="N13" s="41">
        <f aca="true" t="shared" si="5" ref="N13:N44">IF($C13&gt;$N$10*$C$105,($C13-$N$10*$C$105)*$N$11*12*$D13,0)</f>
        <v>0</v>
      </c>
      <c r="O13" s="45">
        <f>M13+I13+G13+K13</f>
        <v>0</v>
      </c>
      <c r="P13" s="27">
        <f>H13+J13+L13+N13</f>
        <v>0</v>
      </c>
      <c r="Q13" s="47">
        <f>IF(VLOOKUP(A13,'per line'!$A$6:$E$55,3,FALSE)&gt;0,P13/VLOOKUP(A13,'per line'!$A$6:$E$55,3,FALSE),0)</f>
        <v>0</v>
      </c>
    </row>
    <row r="14" spans="1:17" ht="12.75">
      <c r="A14" s="19" t="s">
        <v>7</v>
      </c>
      <c r="B14" s="19" t="s">
        <v>153</v>
      </c>
      <c r="C14" s="54">
        <v>43.07</v>
      </c>
      <c r="D14" s="55">
        <v>155511</v>
      </c>
      <c r="E14" s="26">
        <f aca="true" t="shared" si="6" ref="E14:E75">D14*C14</f>
        <v>6697858.7700000005</v>
      </c>
      <c r="F14" s="26">
        <v>7099392</v>
      </c>
      <c r="G14" s="46">
        <f t="shared" si="0"/>
        <v>0</v>
      </c>
      <c r="H14" s="41">
        <f t="shared" si="1"/>
        <v>0</v>
      </c>
      <c r="I14" s="46">
        <f t="shared" si="2"/>
        <v>0</v>
      </c>
      <c r="J14" s="41">
        <f t="shared" si="3"/>
        <v>0</v>
      </c>
      <c r="K14" s="46">
        <f aca="true" t="shared" si="7" ref="K14:K77">L14/D14/12</f>
        <v>0</v>
      </c>
      <c r="L14" s="41">
        <f t="shared" si="4"/>
        <v>0</v>
      </c>
      <c r="M14" s="46">
        <f aca="true" t="shared" si="8" ref="M14:M75">N14/D14/12</f>
        <v>0</v>
      </c>
      <c r="N14" s="41">
        <f t="shared" si="5"/>
        <v>0</v>
      </c>
      <c r="O14" s="45">
        <f aca="true" t="shared" si="9" ref="O14:O77">M14+I14+G14+K14</f>
        <v>0</v>
      </c>
      <c r="P14" s="27">
        <f aca="true" t="shared" si="10" ref="P14:P77">H14+J14+L14+N14</f>
        <v>0</v>
      </c>
      <c r="Q14" s="47">
        <f>IF(VLOOKUP(A14,'per line'!$A$6:$E$55,3,FALSE)&gt;0,P14/VLOOKUP(A14,'per line'!$A$6:$E$55,3,FALSE),0)</f>
        <v>0</v>
      </c>
    </row>
    <row r="15" spans="1:17" ht="12.75">
      <c r="A15" s="19" t="s">
        <v>7</v>
      </c>
      <c r="B15" s="19" t="s">
        <v>8</v>
      </c>
      <c r="C15" s="54">
        <v>28.86</v>
      </c>
      <c r="D15" s="55">
        <v>1801778</v>
      </c>
      <c r="E15" s="26">
        <f t="shared" si="6"/>
        <v>51999313.08</v>
      </c>
      <c r="F15" s="26">
        <v>0</v>
      </c>
      <c r="G15" s="46">
        <f t="shared" si="0"/>
        <v>0</v>
      </c>
      <c r="H15" s="41">
        <f t="shared" si="1"/>
        <v>0</v>
      </c>
      <c r="I15" s="46">
        <f t="shared" si="2"/>
        <v>0</v>
      </c>
      <c r="J15" s="41">
        <f t="shared" si="3"/>
        <v>0</v>
      </c>
      <c r="K15" s="46">
        <f t="shared" si="7"/>
        <v>0</v>
      </c>
      <c r="L15" s="41">
        <f t="shared" si="4"/>
        <v>0</v>
      </c>
      <c r="M15" s="46">
        <f t="shared" si="8"/>
        <v>0</v>
      </c>
      <c r="N15" s="41">
        <f t="shared" si="5"/>
        <v>0</v>
      </c>
      <c r="O15" s="45">
        <f t="shared" si="9"/>
        <v>0</v>
      </c>
      <c r="P15" s="27">
        <f t="shared" si="10"/>
        <v>0</v>
      </c>
      <c r="Q15" s="47">
        <f>IF(VLOOKUP(A15,'per line'!$A$6:$E$55,3,FALSE)&gt;0,P15/VLOOKUP(A15,'per line'!$A$6:$E$55,3,FALSE),0)</f>
        <v>0</v>
      </c>
    </row>
    <row r="16" spans="1:17" ht="12.75">
      <c r="A16" s="19" t="s">
        <v>9</v>
      </c>
      <c r="B16" s="19" t="s">
        <v>10</v>
      </c>
      <c r="C16" s="54">
        <v>26.95</v>
      </c>
      <c r="D16" s="55">
        <v>898814</v>
      </c>
      <c r="E16" s="26">
        <f t="shared" si="6"/>
        <v>24223037.3</v>
      </c>
      <c r="F16" s="26">
        <v>3984924</v>
      </c>
      <c r="G16" s="46">
        <f t="shared" si="0"/>
        <v>0</v>
      </c>
      <c r="H16" s="41">
        <f t="shared" si="1"/>
        <v>0</v>
      </c>
      <c r="I16" s="46">
        <f t="shared" si="2"/>
        <v>0</v>
      </c>
      <c r="J16" s="41">
        <f t="shared" si="3"/>
        <v>0</v>
      </c>
      <c r="K16" s="46">
        <f t="shared" si="7"/>
        <v>0</v>
      </c>
      <c r="L16" s="41">
        <f t="shared" si="4"/>
        <v>0</v>
      </c>
      <c r="M16" s="46">
        <f t="shared" si="8"/>
        <v>0</v>
      </c>
      <c r="N16" s="41">
        <f t="shared" si="5"/>
        <v>0</v>
      </c>
      <c r="O16" s="45">
        <f t="shared" si="9"/>
        <v>0</v>
      </c>
      <c r="P16" s="27">
        <f t="shared" si="10"/>
        <v>0</v>
      </c>
      <c r="Q16" s="47">
        <f>IF(VLOOKUP(A16,'per line'!$A$6:$E$55,3,FALSE)&gt;0,P16/VLOOKUP(A16,'per line'!$A$6:$E$55,3,FALSE),0)</f>
        <v>0</v>
      </c>
    </row>
    <row r="17" spans="1:17" ht="12.75">
      <c r="A17" s="19" t="s">
        <v>11</v>
      </c>
      <c r="B17" s="19" t="s">
        <v>12</v>
      </c>
      <c r="C17" s="54">
        <v>17.94</v>
      </c>
      <c r="D17" s="55">
        <v>2389011</v>
      </c>
      <c r="E17" s="26">
        <f t="shared" si="6"/>
        <v>42858857.34</v>
      </c>
      <c r="F17" s="26">
        <v>2417928</v>
      </c>
      <c r="G17" s="46">
        <f t="shared" si="0"/>
        <v>0</v>
      </c>
      <c r="H17" s="41">
        <f t="shared" si="1"/>
        <v>0</v>
      </c>
      <c r="I17" s="46">
        <f t="shared" si="2"/>
        <v>0</v>
      </c>
      <c r="J17" s="41">
        <f t="shared" si="3"/>
        <v>0</v>
      </c>
      <c r="K17" s="46">
        <f t="shared" si="7"/>
        <v>0</v>
      </c>
      <c r="L17" s="41">
        <f t="shared" si="4"/>
        <v>0</v>
      </c>
      <c r="M17" s="46">
        <f t="shared" si="8"/>
        <v>0</v>
      </c>
      <c r="N17" s="41">
        <f t="shared" si="5"/>
        <v>0</v>
      </c>
      <c r="O17" s="45">
        <f t="shared" si="9"/>
        <v>0</v>
      </c>
      <c r="P17" s="27">
        <f t="shared" si="10"/>
        <v>0</v>
      </c>
      <c r="Q17" s="47">
        <f>IF(VLOOKUP(A17,'per line'!$A$6:$E$55,3,FALSE)&gt;0,P17/VLOOKUP(A17,'per line'!$A$6:$E$55,3,FALSE),0)</f>
        <v>0</v>
      </c>
    </row>
    <row r="18" spans="1:17" ht="12.75">
      <c r="A18" s="19" t="s">
        <v>13</v>
      </c>
      <c r="B18" s="19" t="s">
        <v>14</v>
      </c>
      <c r="C18" s="54">
        <v>35.05</v>
      </c>
      <c r="D18" s="55">
        <v>321289</v>
      </c>
      <c r="E18" s="26">
        <f t="shared" si="6"/>
        <v>11261179.45</v>
      </c>
      <c r="F18" s="26">
        <v>154140</v>
      </c>
      <c r="G18" s="46">
        <f t="shared" si="0"/>
        <v>0</v>
      </c>
      <c r="H18" s="41">
        <f t="shared" si="1"/>
        <v>0</v>
      </c>
      <c r="I18" s="46">
        <f t="shared" si="2"/>
        <v>0</v>
      </c>
      <c r="J18" s="41">
        <f t="shared" si="3"/>
        <v>0</v>
      </c>
      <c r="K18" s="46">
        <f t="shared" si="7"/>
        <v>0</v>
      </c>
      <c r="L18" s="41">
        <f t="shared" si="4"/>
        <v>0</v>
      </c>
      <c r="M18" s="46">
        <f t="shared" si="8"/>
        <v>0</v>
      </c>
      <c r="N18" s="41">
        <f t="shared" si="5"/>
        <v>0</v>
      </c>
      <c r="O18" s="45">
        <f t="shared" si="9"/>
        <v>0</v>
      </c>
      <c r="P18" s="27">
        <f t="shared" si="10"/>
        <v>0</v>
      </c>
      <c r="Q18" s="47">
        <f>IF(VLOOKUP(A18,'per line'!$A$6:$E$55,3,FALSE)&gt;0,P18/VLOOKUP(A18,'per line'!$A$6:$E$55,3,FALSE),0)</f>
        <v>0</v>
      </c>
    </row>
    <row r="19" spans="1:17" ht="12.75">
      <c r="A19" s="19" t="s">
        <v>13</v>
      </c>
      <c r="B19" s="19" t="s">
        <v>154</v>
      </c>
      <c r="C19" s="54">
        <v>15.89</v>
      </c>
      <c r="D19" s="55">
        <v>3806227</v>
      </c>
      <c r="E19" s="26">
        <f t="shared" si="6"/>
        <v>60480947.03</v>
      </c>
      <c r="F19" s="26">
        <v>0</v>
      </c>
      <c r="G19" s="46">
        <f t="shared" si="0"/>
        <v>0</v>
      </c>
      <c r="H19" s="41">
        <f t="shared" si="1"/>
        <v>0</v>
      </c>
      <c r="I19" s="46">
        <f t="shared" si="2"/>
        <v>0</v>
      </c>
      <c r="J19" s="41">
        <f t="shared" si="3"/>
        <v>0</v>
      </c>
      <c r="K19" s="46">
        <f t="shared" si="7"/>
        <v>0</v>
      </c>
      <c r="L19" s="41">
        <f t="shared" si="4"/>
        <v>0</v>
      </c>
      <c r="M19" s="46">
        <f t="shared" si="8"/>
        <v>0</v>
      </c>
      <c r="N19" s="41">
        <f t="shared" si="5"/>
        <v>0</v>
      </c>
      <c r="O19" s="45">
        <f t="shared" si="9"/>
        <v>0</v>
      </c>
      <c r="P19" s="27">
        <f t="shared" si="10"/>
        <v>0</v>
      </c>
      <c r="Q19" s="47">
        <f>IF(VLOOKUP(A19,'per line'!$A$6:$E$55,3,FALSE)&gt;0,P19/VLOOKUP(A19,'per line'!$A$6:$E$55,3,FALSE),0)</f>
        <v>0</v>
      </c>
    </row>
    <row r="20" spans="1:17" ht="12.75">
      <c r="A20" s="19" t="s">
        <v>13</v>
      </c>
      <c r="B20" s="19" t="s">
        <v>15</v>
      </c>
      <c r="C20" s="54">
        <v>15.6</v>
      </c>
      <c r="D20" s="55">
        <v>16006055</v>
      </c>
      <c r="E20" s="26">
        <f t="shared" si="6"/>
        <v>249694458</v>
      </c>
      <c r="F20" s="26">
        <v>0</v>
      </c>
      <c r="G20" s="46">
        <f t="shared" si="0"/>
        <v>0</v>
      </c>
      <c r="H20" s="41">
        <f t="shared" si="1"/>
        <v>0</v>
      </c>
      <c r="I20" s="46">
        <f t="shared" si="2"/>
        <v>0</v>
      </c>
      <c r="J20" s="41">
        <f t="shared" si="3"/>
        <v>0</v>
      </c>
      <c r="K20" s="46">
        <f t="shared" si="7"/>
        <v>0</v>
      </c>
      <c r="L20" s="41">
        <f t="shared" si="4"/>
        <v>0</v>
      </c>
      <c r="M20" s="46">
        <f t="shared" si="8"/>
        <v>0</v>
      </c>
      <c r="N20" s="41">
        <f t="shared" si="5"/>
        <v>0</v>
      </c>
      <c r="O20" s="45">
        <f t="shared" si="9"/>
        <v>0</v>
      </c>
      <c r="P20" s="27">
        <f t="shared" si="10"/>
        <v>0</v>
      </c>
      <c r="Q20" s="47">
        <f>IF(VLOOKUP(A20,'per line'!$A$6:$E$55,3,FALSE)&gt;0,P20/VLOOKUP(A20,'per line'!$A$6:$E$55,3,FALSE),0)</f>
        <v>0</v>
      </c>
    </row>
    <row r="21" spans="1:17" ht="12.75">
      <c r="A21" s="19" t="s">
        <v>13</v>
      </c>
      <c r="B21" s="19" t="s">
        <v>16</v>
      </c>
      <c r="C21" s="54">
        <v>17.46</v>
      </c>
      <c r="D21" s="55">
        <v>102593</v>
      </c>
      <c r="E21" s="26">
        <f t="shared" si="6"/>
        <v>1791273.78</v>
      </c>
      <c r="F21" s="26">
        <v>6196488</v>
      </c>
      <c r="G21" s="46">
        <f t="shared" si="0"/>
        <v>0</v>
      </c>
      <c r="H21" s="41">
        <f t="shared" si="1"/>
        <v>0</v>
      </c>
      <c r="I21" s="46">
        <f t="shared" si="2"/>
        <v>0</v>
      </c>
      <c r="J21" s="41">
        <f t="shared" si="3"/>
        <v>0</v>
      </c>
      <c r="K21" s="46">
        <f t="shared" si="7"/>
        <v>0</v>
      </c>
      <c r="L21" s="41">
        <f t="shared" si="4"/>
        <v>0</v>
      </c>
      <c r="M21" s="46">
        <f t="shared" si="8"/>
        <v>0</v>
      </c>
      <c r="N21" s="41">
        <f t="shared" si="5"/>
        <v>0</v>
      </c>
      <c r="O21" s="45">
        <f t="shared" si="9"/>
        <v>0</v>
      </c>
      <c r="P21" s="27">
        <f t="shared" si="10"/>
        <v>0</v>
      </c>
      <c r="Q21" s="47">
        <f>IF(VLOOKUP(A21,'per line'!$A$6:$E$55,3,FALSE)&gt;0,P21/VLOOKUP(A21,'per line'!$A$6:$E$55,3,FALSE),0)</f>
        <v>0</v>
      </c>
    </row>
    <row r="22" spans="1:17" ht="12.75">
      <c r="A22" s="19" t="s">
        <v>17</v>
      </c>
      <c r="B22" s="19" t="s">
        <v>18</v>
      </c>
      <c r="C22" s="54">
        <v>20.4</v>
      </c>
      <c r="D22" s="55">
        <v>2384889</v>
      </c>
      <c r="E22" s="26">
        <f t="shared" si="6"/>
        <v>48651735.599999994</v>
      </c>
      <c r="F22" s="26">
        <v>2505660</v>
      </c>
      <c r="G22" s="46">
        <f t="shared" si="0"/>
        <v>0</v>
      </c>
      <c r="H22" s="41">
        <f t="shared" si="1"/>
        <v>0</v>
      </c>
      <c r="I22" s="46">
        <f t="shared" si="2"/>
        <v>0</v>
      </c>
      <c r="J22" s="41">
        <f t="shared" si="3"/>
        <v>0</v>
      </c>
      <c r="K22" s="46">
        <f t="shared" si="7"/>
        <v>0</v>
      </c>
      <c r="L22" s="41">
        <f t="shared" si="4"/>
        <v>0</v>
      </c>
      <c r="M22" s="46">
        <f t="shared" si="8"/>
        <v>0</v>
      </c>
      <c r="N22" s="41">
        <f t="shared" si="5"/>
        <v>0</v>
      </c>
      <c r="O22" s="45">
        <f t="shared" si="9"/>
        <v>0</v>
      </c>
      <c r="P22" s="27">
        <f t="shared" si="10"/>
        <v>0</v>
      </c>
      <c r="Q22" s="47">
        <f>IF(VLOOKUP(A22,'per line'!$A$6:$E$55,3,FALSE)&gt;0,P22/VLOOKUP(A22,'per line'!$A$6:$E$55,3,FALSE),0)</f>
        <v>0</v>
      </c>
    </row>
    <row r="23" spans="1:17" ht="12.75">
      <c r="A23" s="19" t="s">
        <v>19</v>
      </c>
      <c r="B23" s="19" t="s">
        <v>20</v>
      </c>
      <c r="C23" s="54">
        <v>18.97</v>
      </c>
      <c r="D23" s="55">
        <v>2099704</v>
      </c>
      <c r="E23" s="26">
        <f t="shared" si="6"/>
        <v>39831384.879999995</v>
      </c>
      <c r="F23" s="26">
        <v>0</v>
      </c>
      <c r="G23" s="46">
        <f t="shared" si="0"/>
        <v>0</v>
      </c>
      <c r="H23" s="41">
        <f t="shared" si="1"/>
        <v>0</v>
      </c>
      <c r="I23" s="46">
        <f t="shared" si="2"/>
        <v>0</v>
      </c>
      <c r="J23" s="41">
        <f t="shared" si="3"/>
        <v>0</v>
      </c>
      <c r="K23" s="46">
        <f t="shared" si="7"/>
        <v>0</v>
      </c>
      <c r="L23" s="41">
        <f t="shared" si="4"/>
        <v>0</v>
      </c>
      <c r="M23" s="46">
        <f t="shared" si="8"/>
        <v>0</v>
      </c>
      <c r="N23" s="41">
        <f t="shared" si="5"/>
        <v>0</v>
      </c>
      <c r="O23" s="45">
        <f t="shared" si="9"/>
        <v>0</v>
      </c>
      <c r="P23" s="27">
        <f t="shared" si="10"/>
        <v>0</v>
      </c>
      <c r="Q23" s="47">
        <f>IF(VLOOKUP(A23,'per line'!$A$6:$E$55,3,FALSE)&gt;0,P23/VLOOKUP(A23,'per line'!$A$6:$E$55,3,FALSE),0)</f>
        <v>0</v>
      </c>
    </row>
    <row r="24" spans="1:17" ht="12.75">
      <c r="A24" s="19" t="s">
        <v>21</v>
      </c>
      <c r="B24" s="19" t="s">
        <v>137</v>
      </c>
      <c r="C24" s="54">
        <v>11.65</v>
      </c>
      <c r="D24" s="55">
        <v>923018</v>
      </c>
      <c r="E24" s="26">
        <f t="shared" si="6"/>
        <v>10753159.700000001</v>
      </c>
      <c r="F24" s="26">
        <v>0</v>
      </c>
      <c r="G24" s="46">
        <f t="shared" si="0"/>
        <v>0</v>
      </c>
      <c r="H24" s="41">
        <f t="shared" si="1"/>
        <v>0</v>
      </c>
      <c r="I24" s="46">
        <f t="shared" si="2"/>
        <v>0</v>
      </c>
      <c r="J24" s="41">
        <f t="shared" si="3"/>
        <v>0</v>
      </c>
      <c r="K24" s="46">
        <f t="shared" si="7"/>
        <v>0</v>
      </c>
      <c r="L24" s="41">
        <f t="shared" si="4"/>
        <v>0</v>
      </c>
      <c r="M24" s="46">
        <f t="shared" si="8"/>
        <v>0</v>
      </c>
      <c r="N24" s="41">
        <f t="shared" si="5"/>
        <v>0</v>
      </c>
      <c r="O24" s="45">
        <f t="shared" si="9"/>
        <v>0</v>
      </c>
      <c r="P24" s="27">
        <f t="shared" si="10"/>
        <v>0</v>
      </c>
      <c r="Q24" s="47">
        <f>IF(VLOOKUP(A24,'per line'!$A$6:$E$55,3,FALSE)&gt;0,P24/VLOOKUP(A24,'per line'!$A$6:$E$55,3,FALSE),0)</f>
        <v>0</v>
      </c>
    </row>
    <row r="25" spans="1:17" ht="12.75">
      <c r="A25" s="19" t="s">
        <v>22</v>
      </c>
      <c r="B25" s="19" t="s">
        <v>23</v>
      </c>
      <c r="C25" s="54">
        <v>18.96</v>
      </c>
      <c r="D25" s="55">
        <v>500823</v>
      </c>
      <c r="E25" s="26">
        <f t="shared" si="6"/>
        <v>9495604.08</v>
      </c>
      <c r="F25" s="26">
        <v>0</v>
      </c>
      <c r="G25" s="46">
        <f t="shared" si="0"/>
        <v>0</v>
      </c>
      <c r="H25" s="41">
        <f t="shared" si="1"/>
        <v>0</v>
      </c>
      <c r="I25" s="46">
        <f t="shared" si="2"/>
        <v>0</v>
      </c>
      <c r="J25" s="41">
        <f t="shared" si="3"/>
        <v>0</v>
      </c>
      <c r="K25" s="46">
        <f t="shared" si="7"/>
        <v>0</v>
      </c>
      <c r="L25" s="41">
        <f t="shared" si="4"/>
        <v>0</v>
      </c>
      <c r="M25" s="46">
        <f t="shared" si="8"/>
        <v>0</v>
      </c>
      <c r="N25" s="41">
        <f t="shared" si="5"/>
        <v>0</v>
      </c>
      <c r="O25" s="45">
        <f t="shared" si="9"/>
        <v>0</v>
      </c>
      <c r="P25" s="27">
        <f t="shared" si="10"/>
        <v>0</v>
      </c>
      <c r="Q25" s="47">
        <f>IF(VLOOKUP(A25,'per line'!$A$6:$E$55,3,FALSE)&gt;0,P25/VLOOKUP(A25,'per line'!$A$6:$E$55,3,FALSE),0)</f>
        <v>0</v>
      </c>
    </row>
    <row r="26" spans="1:17" ht="12.75">
      <c r="A26" s="19" t="s">
        <v>24</v>
      </c>
      <c r="B26" s="19" t="s">
        <v>182</v>
      </c>
      <c r="C26" s="54">
        <v>17.04</v>
      </c>
      <c r="D26" s="55">
        <v>2090129</v>
      </c>
      <c r="E26" s="26">
        <f t="shared" si="6"/>
        <v>35615798.16</v>
      </c>
      <c r="F26" s="26">
        <v>0</v>
      </c>
      <c r="G26" s="46">
        <f t="shared" si="0"/>
        <v>0</v>
      </c>
      <c r="H26" s="41">
        <f t="shared" si="1"/>
        <v>0</v>
      </c>
      <c r="I26" s="46">
        <f t="shared" si="2"/>
        <v>0</v>
      </c>
      <c r="J26" s="41">
        <f t="shared" si="3"/>
        <v>0</v>
      </c>
      <c r="K26" s="46">
        <f t="shared" si="7"/>
        <v>0</v>
      </c>
      <c r="L26" s="41">
        <f t="shared" si="4"/>
        <v>0</v>
      </c>
      <c r="M26" s="46">
        <f t="shared" si="8"/>
        <v>0</v>
      </c>
      <c r="N26" s="41">
        <f t="shared" si="5"/>
        <v>0</v>
      </c>
      <c r="O26" s="45">
        <f t="shared" si="9"/>
        <v>0</v>
      </c>
      <c r="P26" s="27">
        <f t="shared" si="10"/>
        <v>0</v>
      </c>
      <c r="Q26" s="47">
        <f>IF(VLOOKUP(A26,'per line'!$A$6:$E$55,3,FALSE)&gt;0,P26/VLOOKUP(A26,'per line'!$A$6:$E$55,3,FALSE),0)</f>
        <v>0</v>
      </c>
    </row>
    <row r="27" spans="1:17" ht="12.75">
      <c r="A27" s="19" t="s">
        <v>24</v>
      </c>
      <c r="B27" s="19" t="s">
        <v>25</v>
      </c>
      <c r="C27" s="54">
        <v>17.12</v>
      </c>
      <c r="D27" s="55">
        <v>5761947</v>
      </c>
      <c r="E27" s="26">
        <f t="shared" si="6"/>
        <v>98644532.64</v>
      </c>
      <c r="F27" s="26">
        <v>0</v>
      </c>
      <c r="G27" s="46">
        <f t="shared" si="0"/>
        <v>0</v>
      </c>
      <c r="H27" s="41">
        <f t="shared" si="1"/>
        <v>0</v>
      </c>
      <c r="I27" s="46">
        <f t="shared" si="2"/>
        <v>0</v>
      </c>
      <c r="J27" s="41">
        <f t="shared" si="3"/>
        <v>0</v>
      </c>
      <c r="K27" s="46">
        <f t="shared" si="7"/>
        <v>0</v>
      </c>
      <c r="L27" s="41">
        <f t="shared" si="4"/>
        <v>0</v>
      </c>
      <c r="M27" s="46">
        <f t="shared" si="8"/>
        <v>0</v>
      </c>
      <c r="N27" s="41">
        <f t="shared" si="5"/>
        <v>0</v>
      </c>
      <c r="O27" s="45">
        <f t="shared" si="9"/>
        <v>0</v>
      </c>
      <c r="P27" s="27">
        <f t="shared" si="10"/>
        <v>0</v>
      </c>
      <c r="Q27" s="47">
        <f>IF(VLOOKUP(A27,'per line'!$A$6:$E$55,3,FALSE)&gt;0,P27/VLOOKUP(A27,'per line'!$A$6:$E$55,3,FALSE),0)</f>
        <v>0</v>
      </c>
    </row>
    <row r="28" spans="1:17" ht="12.75">
      <c r="A28" s="19" t="s">
        <v>24</v>
      </c>
      <c r="B28" s="19" t="s">
        <v>125</v>
      </c>
      <c r="C28" s="56">
        <v>21.82</v>
      </c>
      <c r="D28" s="55">
        <v>1812228</v>
      </c>
      <c r="E28" s="26">
        <f t="shared" si="6"/>
        <v>39542814.96</v>
      </c>
      <c r="F28" s="26">
        <v>0</v>
      </c>
      <c r="G28" s="46">
        <f t="shared" si="0"/>
        <v>0</v>
      </c>
      <c r="H28" s="41">
        <f t="shared" si="1"/>
        <v>0</v>
      </c>
      <c r="I28" s="46">
        <f t="shared" si="2"/>
        <v>0</v>
      </c>
      <c r="J28" s="41">
        <f t="shared" si="3"/>
        <v>0</v>
      </c>
      <c r="K28" s="46">
        <f t="shared" si="7"/>
        <v>0</v>
      </c>
      <c r="L28" s="41">
        <f t="shared" si="4"/>
        <v>0</v>
      </c>
      <c r="M28" s="46">
        <f t="shared" si="8"/>
        <v>0</v>
      </c>
      <c r="N28" s="41">
        <f t="shared" si="5"/>
        <v>0</v>
      </c>
      <c r="O28" s="45">
        <f t="shared" si="9"/>
        <v>0</v>
      </c>
      <c r="P28" s="27">
        <f t="shared" si="10"/>
        <v>0</v>
      </c>
      <c r="Q28" s="47">
        <f>IF(VLOOKUP(A28,'per line'!$A$6:$E$55,3,FALSE)&gt;0,P28/VLOOKUP(A28,'per line'!$A$6:$E$55,3,FALSE),0)</f>
        <v>0</v>
      </c>
    </row>
    <row r="29" spans="1:17" ht="12.75">
      <c r="A29" s="19" t="s">
        <v>26</v>
      </c>
      <c r="B29" s="19" t="s">
        <v>27</v>
      </c>
      <c r="C29" s="54">
        <v>21.36</v>
      </c>
      <c r="D29" s="55">
        <v>3598169</v>
      </c>
      <c r="E29" s="26">
        <f t="shared" si="6"/>
        <v>76856889.84</v>
      </c>
      <c r="F29" s="26">
        <v>2980956</v>
      </c>
      <c r="G29" s="46">
        <f t="shared" si="0"/>
        <v>0</v>
      </c>
      <c r="H29" s="41">
        <f t="shared" si="1"/>
        <v>0</v>
      </c>
      <c r="I29" s="46">
        <f t="shared" si="2"/>
        <v>0</v>
      </c>
      <c r="J29" s="41">
        <f t="shared" si="3"/>
        <v>0</v>
      </c>
      <c r="K29" s="46">
        <f t="shared" si="7"/>
        <v>0</v>
      </c>
      <c r="L29" s="41">
        <f t="shared" si="4"/>
        <v>0</v>
      </c>
      <c r="M29" s="46">
        <f t="shared" si="8"/>
        <v>0</v>
      </c>
      <c r="N29" s="41">
        <f t="shared" si="5"/>
        <v>0</v>
      </c>
      <c r="O29" s="45">
        <f t="shared" si="9"/>
        <v>0</v>
      </c>
      <c r="P29" s="27">
        <f t="shared" si="10"/>
        <v>0</v>
      </c>
      <c r="Q29" s="47">
        <f>IF(VLOOKUP(A29,'per line'!$A$6:$E$55,3,FALSE)&gt;0,P29/VLOOKUP(A29,'per line'!$A$6:$E$55,3,FALSE),0)</f>
        <v>0</v>
      </c>
    </row>
    <row r="30" spans="1:17" ht="12.75">
      <c r="A30" s="19" t="s">
        <v>28</v>
      </c>
      <c r="B30" s="19" t="s">
        <v>138</v>
      </c>
      <c r="C30" s="54">
        <v>16.23</v>
      </c>
      <c r="D30" s="55">
        <v>613082</v>
      </c>
      <c r="E30" s="26">
        <f t="shared" si="6"/>
        <v>9950320.86</v>
      </c>
      <c r="F30" s="26">
        <v>0</v>
      </c>
      <c r="G30" s="46">
        <f t="shared" si="0"/>
        <v>0</v>
      </c>
      <c r="H30" s="41">
        <f t="shared" si="1"/>
        <v>0</v>
      </c>
      <c r="I30" s="46">
        <f t="shared" si="2"/>
        <v>0</v>
      </c>
      <c r="J30" s="41">
        <f t="shared" si="3"/>
        <v>0</v>
      </c>
      <c r="K30" s="46">
        <f t="shared" si="7"/>
        <v>0</v>
      </c>
      <c r="L30" s="41">
        <f t="shared" si="4"/>
        <v>0</v>
      </c>
      <c r="M30" s="46">
        <f t="shared" si="8"/>
        <v>0</v>
      </c>
      <c r="N30" s="41">
        <f t="shared" si="5"/>
        <v>0</v>
      </c>
      <c r="O30" s="45">
        <f t="shared" si="9"/>
        <v>0</v>
      </c>
      <c r="P30" s="27">
        <f t="shared" si="10"/>
        <v>0</v>
      </c>
      <c r="Q30" s="47">
        <f>IF(VLOOKUP(A30,'per line'!$A$6:$E$55,3,FALSE)&gt;0,P30/VLOOKUP(A30,'per line'!$A$6:$E$55,3,FALSE),0)</f>
        <v>0</v>
      </c>
    </row>
    <row r="31" spans="1:17" ht="12.75">
      <c r="A31" s="19" t="s">
        <v>29</v>
      </c>
      <c r="B31" s="19" t="s">
        <v>30</v>
      </c>
      <c r="C31" s="54">
        <v>21.04</v>
      </c>
      <c r="D31" s="55">
        <v>1055858</v>
      </c>
      <c r="E31" s="26">
        <f t="shared" si="6"/>
        <v>22215252.32</v>
      </c>
      <c r="F31" s="26">
        <v>0</v>
      </c>
      <c r="G31" s="46">
        <f t="shared" si="0"/>
        <v>0</v>
      </c>
      <c r="H31" s="41">
        <f t="shared" si="1"/>
        <v>0</v>
      </c>
      <c r="I31" s="46">
        <f t="shared" si="2"/>
        <v>0</v>
      </c>
      <c r="J31" s="41">
        <f t="shared" si="3"/>
        <v>0</v>
      </c>
      <c r="K31" s="46">
        <f t="shared" si="7"/>
        <v>0</v>
      </c>
      <c r="L31" s="41">
        <f t="shared" si="4"/>
        <v>0</v>
      </c>
      <c r="M31" s="46">
        <f t="shared" si="8"/>
        <v>0</v>
      </c>
      <c r="N31" s="41">
        <f t="shared" si="5"/>
        <v>0</v>
      </c>
      <c r="O31" s="45">
        <f t="shared" si="9"/>
        <v>0</v>
      </c>
      <c r="P31" s="27">
        <f t="shared" si="10"/>
        <v>0</v>
      </c>
      <c r="Q31" s="47">
        <f>IF(VLOOKUP(A31,'per line'!$A$6:$E$55,3,FALSE)&gt;0,P31/VLOOKUP(A31,'per line'!$A$6:$E$55,3,FALSE),0)</f>
        <v>0</v>
      </c>
    </row>
    <row r="32" spans="1:17" ht="12.75">
      <c r="A32" s="19" t="s">
        <v>31</v>
      </c>
      <c r="B32" s="19" t="s">
        <v>32</v>
      </c>
      <c r="C32" s="54">
        <v>25.25</v>
      </c>
      <c r="D32" s="55">
        <v>472339</v>
      </c>
      <c r="E32" s="26">
        <f t="shared" si="6"/>
        <v>11926559.75</v>
      </c>
      <c r="F32" s="26">
        <v>0</v>
      </c>
      <c r="G32" s="46">
        <f t="shared" si="0"/>
        <v>0</v>
      </c>
      <c r="H32" s="41">
        <f t="shared" si="1"/>
        <v>0</v>
      </c>
      <c r="I32" s="46">
        <f t="shared" si="2"/>
        <v>0</v>
      </c>
      <c r="J32" s="41">
        <f t="shared" si="3"/>
        <v>0</v>
      </c>
      <c r="K32" s="46">
        <f t="shared" si="7"/>
        <v>0</v>
      </c>
      <c r="L32" s="41">
        <f t="shared" si="4"/>
        <v>0</v>
      </c>
      <c r="M32" s="46">
        <f t="shared" si="8"/>
        <v>0</v>
      </c>
      <c r="N32" s="41">
        <f t="shared" si="5"/>
        <v>0</v>
      </c>
      <c r="O32" s="45">
        <f t="shared" si="9"/>
        <v>0</v>
      </c>
      <c r="P32" s="27">
        <f t="shared" si="10"/>
        <v>0</v>
      </c>
      <c r="Q32" s="47">
        <f>IF(VLOOKUP(A32,'per line'!$A$6:$E$55,3,FALSE)&gt;0,P32/VLOOKUP(A32,'per line'!$A$6:$E$55,3,FALSE),0)</f>
        <v>0</v>
      </c>
    </row>
    <row r="33" spans="1:17" ht="12.75">
      <c r="A33" s="19" t="s">
        <v>33</v>
      </c>
      <c r="B33" s="19" t="s">
        <v>183</v>
      </c>
      <c r="C33" s="54">
        <v>48.86</v>
      </c>
      <c r="D33" s="55">
        <v>180217</v>
      </c>
      <c r="E33" s="26">
        <f t="shared" si="6"/>
        <v>8805402.62</v>
      </c>
      <c r="F33" s="26">
        <v>0</v>
      </c>
      <c r="G33" s="46">
        <f t="shared" si="0"/>
        <v>0</v>
      </c>
      <c r="H33" s="41">
        <f t="shared" si="1"/>
        <v>0</v>
      </c>
      <c r="I33" s="46">
        <f t="shared" si="2"/>
        <v>0</v>
      </c>
      <c r="J33" s="41">
        <f t="shared" si="3"/>
        <v>0</v>
      </c>
      <c r="K33" s="46">
        <f t="shared" si="7"/>
        <v>0</v>
      </c>
      <c r="L33" s="41">
        <f t="shared" si="4"/>
        <v>0</v>
      </c>
      <c r="M33" s="46">
        <f t="shared" si="8"/>
        <v>0</v>
      </c>
      <c r="N33" s="41">
        <f t="shared" si="5"/>
        <v>0</v>
      </c>
      <c r="O33" s="45">
        <f t="shared" si="9"/>
        <v>0</v>
      </c>
      <c r="P33" s="27">
        <f t="shared" si="10"/>
        <v>0</v>
      </c>
      <c r="Q33" s="47">
        <f>IF(VLOOKUP(A33,'per line'!$A$6:$E$55,3,FALSE)&gt;0,P33/VLOOKUP(A33,'per line'!$A$6:$E$55,3,FALSE),0)</f>
        <v>0</v>
      </c>
    </row>
    <row r="34" spans="1:17" ht="12.75">
      <c r="A34" s="19" t="s">
        <v>33</v>
      </c>
      <c r="B34" s="19" t="s">
        <v>139</v>
      </c>
      <c r="C34" s="54">
        <v>35.1</v>
      </c>
      <c r="D34" s="55">
        <v>625893</v>
      </c>
      <c r="E34" s="26">
        <f t="shared" si="6"/>
        <v>21968844.3</v>
      </c>
      <c r="F34" s="26">
        <v>0</v>
      </c>
      <c r="G34" s="46">
        <f t="shared" si="0"/>
        <v>0</v>
      </c>
      <c r="H34" s="41">
        <f t="shared" si="1"/>
        <v>0</v>
      </c>
      <c r="I34" s="46">
        <f t="shared" si="2"/>
        <v>0</v>
      </c>
      <c r="J34" s="41">
        <f t="shared" si="3"/>
        <v>0</v>
      </c>
      <c r="K34" s="46">
        <f t="shared" si="7"/>
        <v>0</v>
      </c>
      <c r="L34" s="41">
        <f t="shared" si="4"/>
        <v>0</v>
      </c>
      <c r="M34" s="46">
        <f t="shared" si="8"/>
        <v>0</v>
      </c>
      <c r="N34" s="41">
        <f t="shared" si="5"/>
        <v>0</v>
      </c>
      <c r="O34" s="45">
        <f t="shared" si="9"/>
        <v>0</v>
      </c>
      <c r="P34" s="27">
        <f t="shared" si="10"/>
        <v>0</v>
      </c>
      <c r="Q34" s="47">
        <f>IF(VLOOKUP(A34,'per line'!$A$6:$E$55,3,FALSE)&gt;0,P34/VLOOKUP(A34,'per line'!$A$6:$E$55,3,FALSE),0)</f>
        <v>0</v>
      </c>
    </row>
    <row r="35" spans="1:17" ht="12.75">
      <c r="A35" s="19" t="s">
        <v>33</v>
      </c>
      <c r="B35" s="19" t="s">
        <v>34</v>
      </c>
      <c r="C35" s="54">
        <v>15.67</v>
      </c>
      <c r="D35" s="55">
        <v>6264639</v>
      </c>
      <c r="E35" s="26">
        <f t="shared" si="6"/>
        <v>98166893.13</v>
      </c>
      <c r="F35" s="26">
        <v>0</v>
      </c>
      <c r="G35" s="46">
        <f t="shared" si="0"/>
        <v>0</v>
      </c>
      <c r="H35" s="41">
        <f t="shared" si="1"/>
        <v>0</v>
      </c>
      <c r="I35" s="46">
        <f t="shared" si="2"/>
        <v>0</v>
      </c>
      <c r="J35" s="41">
        <f t="shared" si="3"/>
        <v>0</v>
      </c>
      <c r="K35" s="46">
        <f t="shared" si="7"/>
        <v>0</v>
      </c>
      <c r="L35" s="41">
        <f t="shared" si="4"/>
        <v>0</v>
      </c>
      <c r="M35" s="46">
        <f t="shared" si="8"/>
        <v>0</v>
      </c>
      <c r="N35" s="41">
        <f t="shared" si="5"/>
        <v>0</v>
      </c>
      <c r="O35" s="45">
        <f t="shared" si="9"/>
        <v>0</v>
      </c>
      <c r="P35" s="27">
        <f t="shared" si="10"/>
        <v>0</v>
      </c>
      <c r="Q35" s="47">
        <f>IF(VLOOKUP(A35,'per line'!$A$6:$E$55,3,FALSE)&gt;0,P35/VLOOKUP(A35,'per line'!$A$6:$E$55,3,FALSE),0)</f>
        <v>0</v>
      </c>
    </row>
    <row r="36" spans="1:17" ht="12.75">
      <c r="A36" s="19" t="s">
        <v>35</v>
      </c>
      <c r="B36" s="19" t="s">
        <v>184</v>
      </c>
      <c r="C36" s="54">
        <v>45.79</v>
      </c>
      <c r="D36" s="55">
        <v>164194</v>
      </c>
      <c r="E36" s="26">
        <f t="shared" si="6"/>
        <v>7518443.26</v>
      </c>
      <c r="F36" s="26">
        <v>0</v>
      </c>
      <c r="G36" s="46">
        <f t="shared" si="0"/>
        <v>0</v>
      </c>
      <c r="H36" s="41">
        <f t="shared" si="1"/>
        <v>0</v>
      </c>
      <c r="I36" s="46">
        <f t="shared" si="2"/>
        <v>0</v>
      </c>
      <c r="J36" s="41">
        <f t="shared" si="3"/>
        <v>0</v>
      </c>
      <c r="K36" s="46">
        <f t="shared" si="7"/>
        <v>0</v>
      </c>
      <c r="L36" s="41">
        <f t="shared" si="4"/>
        <v>0</v>
      </c>
      <c r="M36" s="46">
        <f t="shared" si="8"/>
        <v>0</v>
      </c>
      <c r="N36" s="41">
        <f t="shared" si="5"/>
        <v>0</v>
      </c>
      <c r="O36" s="45">
        <f t="shared" si="9"/>
        <v>0</v>
      </c>
      <c r="P36" s="27">
        <f t="shared" si="10"/>
        <v>0</v>
      </c>
      <c r="Q36" s="47">
        <f>IF(VLOOKUP(A36,'per line'!$A$6:$E$55,3,FALSE)&gt;0,P36/VLOOKUP(A36,'per line'!$A$6:$E$55,3,FALSE),0)</f>
        <v>0</v>
      </c>
    </row>
    <row r="37" spans="1:17" ht="12.75">
      <c r="A37" s="19" t="s">
        <v>35</v>
      </c>
      <c r="B37" s="19" t="s">
        <v>140</v>
      </c>
      <c r="C37" s="54">
        <v>26.69</v>
      </c>
      <c r="D37" s="55">
        <v>689074</v>
      </c>
      <c r="E37" s="26">
        <f t="shared" si="6"/>
        <v>18391385.060000002</v>
      </c>
      <c r="F37" s="26">
        <v>0</v>
      </c>
      <c r="G37" s="46">
        <f t="shared" si="0"/>
        <v>0</v>
      </c>
      <c r="H37" s="41">
        <f t="shared" si="1"/>
        <v>0</v>
      </c>
      <c r="I37" s="46">
        <f t="shared" si="2"/>
        <v>0</v>
      </c>
      <c r="J37" s="41">
        <f t="shared" si="3"/>
        <v>0</v>
      </c>
      <c r="K37" s="46">
        <f t="shared" si="7"/>
        <v>0</v>
      </c>
      <c r="L37" s="41">
        <f t="shared" si="4"/>
        <v>0</v>
      </c>
      <c r="M37" s="46">
        <f t="shared" si="8"/>
        <v>0</v>
      </c>
      <c r="N37" s="41">
        <f t="shared" si="5"/>
        <v>0</v>
      </c>
      <c r="O37" s="45">
        <f t="shared" si="9"/>
        <v>0</v>
      </c>
      <c r="P37" s="27">
        <f t="shared" si="10"/>
        <v>0</v>
      </c>
      <c r="Q37" s="47">
        <f>IF(VLOOKUP(A37,'per line'!$A$6:$E$55,3,FALSE)&gt;0,P37/VLOOKUP(A37,'per line'!$A$6:$E$55,3,FALSE),0)</f>
        <v>0</v>
      </c>
    </row>
    <row r="38" spans="1:17" ht="12.75">
      <c r="A38" s="19" t="s">
        <v>35</v>
      </c>
      <c r="B38" s="19" t="s">
        <v>36</v>
      </c>
      <c r="C38" s="54">
        <v>20.53</v>
      </c>
      <c r="D38" s="55">
        <v>1871463</v>
      </c>
      <c r="E38" s="26">
        <f t="shared" si="6"/>
        <v>38421135.39</v>
      </c>
      <c r="F38" s="26">
        <v>0</v>
      </c>
      <c r="G38" s="46">
        <f t="shared" si="0"/>
        <v>0</v>
      </c>
      <c r="H38" s="41">
        <f t="shared" si="1"/>
        <v>0</v>
      </c>
      <c r="I38" s="46">
        <f t="shared" si="2"/>
        <v>0</v>
      </c>
      <c r="J38" s="41">
        <f t="shared" si="3"/>
        <v>0</v>
      </c>
      <c r="K38" s="46">
        <f t="shared" si="7"/>
        <v>0</v>
      </c>
      <c r="L38" s="41">
        <f t="shared" si="4"/>
        <v>0</v>
      </c>
      <c r="M38" s="46">
        <f t="shared" si="8"/>
        <v>0</v>
      </c>
      <c r="N38" s="41">
        <f t="shared" si="5"/>
        <v>0</v>
      </c>
      <c r="O38" s="45">
        <f t="shared" si="9"/>
        <v>0</v>
      </c>
      <c r="P38" s="27">
        <f t="shared" si="10"/>
        <v>0</v>
      </c>
      <c r="Q38" s="47">
        <f>IF(VLOOKUP(A38,'per line'!$A$6:$E$55,3,FALSE)&gt;0,P38/VLOOKUP(A38,'per line'!$A$6:$E$55,3,FALSE),0)</f>
        <v>0</v>
      </c>
    </row>
    <row r="39" spans="1:17" ht="12.75">
      <c r="A39" s="19" t="s">
        <v>37</v>
      </c>
      <c r="B39" s="19" t="s">
        <v>38</v>
      </c>
      <c r="C39" s="54">
        <v>22.86</v>
      </c>
      <c r="D39" s="55">
        <v>1239765</v>
      </c>
      <c r="E39" s="26">
        <f t="shared" si="6"/>
        <v>28341027.9</v>
      </c>
      <c r="F39" s="26">
        <v>0</v>
      </c>
      <c r="G39" s="46">
        <f t="shared" si="0"/>
        <v>0</v>
      </c>
      <c r="H39" s="41">
        <f t="shared" si="1"/>
        <v>0</v>
      </c>
      <c r="I39" s="46">
        <f t="shared" si="2"/>
        <v>0</v>
      </c>
      <c r="J39" s="41">
        <f t="shared" si="3"/>
        <v>0</v>
      </c>
      <c r="K39" s="46">
        <f t="shared" si="7"/>
        <v>0</v>
      </c>
      <c r="L39" s="41">
        <f t="shared" si="4"/>
        <v>0</v>
      </c>
      <c r="M39" s="46">
        <f t="shared" si="8"/>
        <v>0</v>
      </c>
      <c r="N39" s="41">
        <f t="shared" si="5"/>
        <v>0</v>
      </c>
      <c r="O39" s="45">
        <f t="shared" si="9"/>
        <v>0</v>
      </c>
      <c r="P39" s="27">
        <f t="shared" si="10"/>
        <v>0</v>
      </c>
      <c r="Q39" s="47">
        <f>IF(VLOOKUP(A39,'per line'!$A$6:$E$55,3,FALSE)&gt;0,P39/VLOOKUP(A39,'per line'!$A$6:$E$55,3,FALSE),0)</f>
        <v>0</v>
      </c>
    </row>
    <row r="40" spans="1:17" ht="12.75">
      <c r="A40" s="19" t="s">
        <v>39</v>
      </c>
      <c r="B40" s="19" t="s">
        <v>40</v>
      </c>
      <c r="C40" s="54">
        <v>24.33</v>
      </c>
      <c r="D40" s="55">
        <v>181349</v>
      </c>
      <c r="E40" s="26">
        <f t="shared" si="6"/>
        <v>4412221.17</v>
      </c>
      <c r="F40" s="26">
        <v>0</v>
      </c>
      <c r="G40" s="46">
        <f t="shared" si="0"/>
        <v>0</v>
      </c>
      <c r="H40" s="41">
        <f t="shared" si="1"/>
        <v>0</v>
      </c>
      <c r="I40" s="46">
        <f t="shared" si="2"/>
        <v>0</v>
      </c>
      <c r="J40" s="41">
        <f t="shared" si="3"/>
        <v>0</v>
      </c>
      <c r="K40" s="46">
        <f t="shared" si="7"/>
        <v>0</v>
      </c>
      <c r="L40" s="41">
        <f t="shared" si="4"/>
        <v>0</v>
      </c>
      <c r="M40" s="46">
        <f t="shared" si="8"/>
        <v>0</v>
      </c>
      <c r="N40" s="41">
        <f t="shared" si="5"/>
        <v>0</v>
      </c>
      <c r="O40" s="45">
        <f t="shared" si="9"/>
        <v>0</v>
      </c>
      <c r="P40" s="27">
        <f t="shared" si="10"/>
        <v>0</v>
      </c>
      <c r="Q40" s="47">
        <f>IF(VLOOKUP(A40,'per line'!$A$6:$E$55,3,FALSE)&gt;0,P40/VLOOKUP(A40,'per line'!$A$6:$E$55,3,FALSE),0)</f>
        <v>0</v>
      </c>
    </row>
    <row r="41" spans="1:17" ht="12.75">
      <c r="A41" s="19" t="s">
        <v>39</v>
      </c>
      <c r="B41" s="19" t="s">
        <v>141</v>
      </c>
      <c r="C41" s="54">
        <v>31.33</v>
      </c>
      <c r="D41" s="55">
        <v>416296</v>
      </c>
      <c r="E41" s="26">
        <f t="shared" si="6"/>
        <v>13042553.68</v>
      </c>
      <c r="F41" s="26">
        <v>664404</v>
      </c>
      <c r="G41" s="46">
        <f t="shared" si="0"/>
        <v>0</v>
      </c>
      <c r="H41" s="41">
        <f t="shared" si="1"/>
        <v>0</v>
      </c>
      <c r="I41" s="46">
        <f t="shared" si="2"/>
        <v>0</v>
      </c>
      <c r="J41" s="41">
        <f t="shared" si="3"/>
        <v>0</v>
      </c>
      <c r="K41" s="46">
        <f t="shared" si="7"/>
        <v>0</v>
      </c>
      <c r="L41" s="41">
        <f t="shared" si="4"/>
        <v>0</v>
      </c>
      <c r="M41" s="46">
        <f t="shared" si="8"/>
        <v>0</v>
      </c>
      <c r="N41" s="41">
        <f t="shared" si="5"/>
        <v>0</v>
      </c>
      <c r="O41" s="45">
        <f t="shared" si="9"/>
        <v>0</v>
      </c>
      <c r="P41" s="27">
        <f t="shared" si="10"/>
        <v>0</v>
      </c>
      <c r="Q41" s="47">
        <f>IF(VLOOKUP(A41,'per line'!$A$6:$E$55,3,FALSE)&gt;0,P41/VLOOKUP(A41,'per line'!$A$6:$E$55,3,FALSE),0)</f>
        <v>0</v>
      </c>
    </row>
    <row r="42" spans="1:17" ht="12.75">
      <c r="A42" s="19" t="s">
        <v>39</v>
      </c>
      <c r="B42" s="19" t="s">
        <v>41</v>
      </c>
      <c r="C42" s="54">
        <v>29.45</v>
      </c>
      <c r="D42" s="55">
        <v>1122188</v>
      </c>
      <c r="E42" s="26">
        <f t="shared" si="6"/>
        <v>33048436.599999998</v>
      </c>
      <c r="F42" s="26">
        <v>867252</v>
      </c>
      <c r="G42" s="46">
        <f t="shared" si="0"/>
        <v>0</v>
      </c>
      <c r="H42" s="41">
        <f t="shared" si="1"/>
        <v>0</v>
      </c>
      <c r="I42" s="46">
        <f t="shared" si="2"/>
        <v>0</v>
      </c>
      <c r="J42" s="41">
        <f t="shared" si="3"/>
        <v>0</v>
      </c>
      <c r="K42" s="46">
        <f t="shared" si="7"/>
        <v>0</v>
      </c>
      <c r="L42" s="41">
        <f t="shared" si="4"/>
        <v>0</v>
      </c>
      <c r="M42" s="46">
        <f t="shared" si="8"/>
        <v>0</v>
      </c>
      <c r="N42" s="41">
        <f t="shared" si="5"/>
        <v>0</v>
      </c>
      <c r="O42" s="45">
        <f t="shared" si="9"/>
        <v>0</v>
      </c>
      <c r="P42" s="27">
        <f t="shared" si="10"/>
        <v>0</v>
      </c>
      <c r="Q42" s="47">
        <f>IF(VLOOKUP(A42,'per line'!$A$6:$E$55,3,FALSE)&gt;0,P42/VLOOKUP(A42,'per line'!$A$6:$E$55,3,FALSE),0)</f>
        <v>0</v>
      </c>
    </row>
    <row r="43" spans="1:17" ht="12.75">
      <c r="A43" s="19" t="s">
        <v>42</v>
      </c>
      <c r="B43" s="19" t="s">
        <v>43</v>
      </c>
      <c r="C43" s="54">
        <v>24.11</v>
      </c>
      <c r="D43" s="55">
        <v>2130620</v>
      </c>
      <c r="E43" s="26">
        <f t="shared" si="6"/>
        <v>51369248.199999996</v>
      </c>
      <c r="F43" s="26">
        <v>0</v>
      </c>
      <c r="G43" s="46">
        <f t="shared" si="0"/>
        <v>0</v>
      </c>
      <c r="H43" s="41">
        <f t="shared" si="1"/>
        <v>0</v>
      </c>
      <c r="I43" s="46">
        <f t="shared" si="2"/>
        <v>0</v>
      </c>
      <c r="J43" s="41">
        <f t="shared" si="3"/>
        <v>0</v>
      </c>
      <c r="K43" s="46">
        <f t="shared" si="7"/>
        <v>0</v>
      </c>
      <c r="L43" s="41">
        <f t="shared" si="4"/>
        <v>0</v>
      </c>
      <c r="M43" s="46">
        <f t="shared" si="8"/>
        <v>0</v>
      </c>
      <c r="N43" s="41">
        <f t="shared" si="5"/>
        <v>0</v>
      </c>
      <c r="O43" s="45">
        <f t="shared" si="9"/>
        <v>0</v>
      </c>
      <c r="P43" s="27">
        <f t="shared" si="10"/>
        <v>0</v>
      </c>
      <c r="Q43" s="47">
        <f>IF(VLOOKUP(A43,'per line'!$A$6:$E$55,3,FALSE)&gt;0,P43/VLOOKUP(A43,'per line'!$A$6:$E$55,3,FALSE),0)</f>
        <v>0</v>
      </c>
    </row>
    <row r="44" spans="1:17" ht="12.75">
      <c r="A44" s="19" t="s">
        <v>44</v>
      </c>
      <c r="B44" s="19" t="s">
        <v>45</v>
      </c>
      <c r="C44" s="54">
        <v>16.23</v>
      </c>
      <c r="D44" s="55">
        <v>4109503</v>
      </c>
      <c r="E44" s="26">
        <f t="shared" si="6"/>
        <v>66697233.690000005</v>
      </c>
      <c r="F44" s="26">
        <v>0</v>
      </c>
      <c r="G44" s="46">
        <f t="shared" si="0"/>
        <v>0</v>
      </c>
      <c r="H44" s="41">
        <f t="shared" si="1"/>
        <v>0</v>
      </c>
      <c r="I44" s="46">
        <f t="shared" si="2"/>
        <v>0</v>
      </c>
      <c r="J44" s="41">
        <f t="shared" si="3"/>
        <v>0</v>
      </c>
      <c r="K44" s="46">
        <f t="shared" si="7"/>
        <v>0</v>
      </c>
      <c r="L44" s="41">
        <f t="shared" si="4"/>
        <v>0</v>
      </c>
      <c r="M44" s="46">
        <f t="shared" si="8"/>
        <v>0</v>
      </c>
      <c r="N44" s="41">
        <f t="shared" si="5"/>
        <v>0</v>
      </c>
      <c r="O44" s="45">
        <f t="shared" si="9"/>
        <v>0</v>
      </c>
      <c r="P44" s="27">
        <f t="shared" si="10"/>
        <v>0</v>
      </c>
      <c r="Q44" s="47">
        <f>IF(VLOOKUP(A44,'per line'!$A$6:$E$55,3,FALSE)&gt;0,P44/VLOOKUP(A44,'per line'!$A$6:$E$55,3,FALSE),0)</f>
        <v>0</v>
      </c>
    </row>
    <row r="45" spans="1:17" ht="12.75">
      <c r="A45" s="19" t="s">
        <v>46</v>
      </c>
      <c r="B45" s="19" t="s">
        <v>47</v>
      </c>
      <c r="C45" s="54">
        <v>17.88</v>
      </c>
      <c r="D45" s="55">
        <v>3332491</v>
      </c>
      <c r="E45" s="26">
        <f t="shared" si="6"/>
        <v>59584939.08</v>
      </c>
      <c r="F45" s="26">
        <v>0</v>
      </c>
      <c r="G45" s="46">
        <f t="shared" si="0"/>
        <v>0</v>
      </c>
      <c r="H45" s="41">
        <f aca="true" t="shared" si="11" ref="H45:H76">IF(AND($C45&gt;$H$10*$C$105,$C45&lt;$J$10*$C$105),($C45-$H$10*$C$105)*$H$11*12*$D45,IF($C45&gt;$J$10*$C$105,($J$10-$H$10)*$C$105*$H$11*12*$D45,0))</f>
        <v>0</v>
      </c>
      <c r="I45" s="46">
        <f aca="true" t="shared" si="12" ref="I45:I75">J45/D45/12</f>
        <v>0</v>
      </c>
      <c r="J45" s="41">
        <f aca="true" t="shared" si="13" ref="J45:J76">IF(AND($C45&gt;$J$10*$C$105,$C45&lt;$L$10*$C$105),($C45-$J$10*$C$105)*$J$11*12*$D45,IF($C45&gt;$L$10*$C$105,($L$10-$J$10)*$C$105*$J$11*12*$D45,0))</f>
        <v>0</v>
      </c>
      <c r="K45" s="46">
        <f t="shared" si="7"/>
        <v>0</v>
      </c>
      <c r="L45" s="41">
        <f aca="true" t="shared" si="14" ref="L45:L76">IF(AND($C45&gt;$L$10*$C$105,$C45&lt;$N$10*$C$105),($C45-$L$10*$C$105)*$L$11*12*$D45,IF($C45&gt;$N$10*$C$105,($N$10-$L$10)*$C$105*$L$11*12*$D45,0))</f>
        <v>0</v>
      </c>
      <c r="M45" s="46">
        <f t="shared" si="8"/>
        <v>0</v>
      </c>
      <c r="N45" s="41">
        <f aca="true" t="shared" si="15" ref="N45:N76">IF($C45&gt;$N$10*$C$105,($C45-$N$10*$C$105)*$N$11*12*$D45,0)</f>
        <v>0</v>
      </c>
      <c r="O45" s="45">
        <f t="shared" si="9"/>
        <v>0</v>
      </c>
      <c r="P45" s="27">
        <f t="shared" si="10"/>
        <v>0</v>
      </c>
      <c r="Q45" s="47">
        <f>IF(VLOOKUP(A45,'per line'!$A$6:$E$55,3,FALSE)&gt;0,P45/VLOOKUP(A45,'per line'!$A$6:$E$55,3,FALSE),0)</f>
        <v>0</v>
      </c>
    </row>
    <row r="46" spans="1:17" ht="12.75">
      <c r="A46" s="19" t="s">
        <v>48</v>
      </c>
      <c r="B46" s="19" t="s">
        <v>49</v>
      </c>
      <c r="C46" s="54">
        <v>29.4</v>
      </c>
      <c r="D46" s="55">
        <v>629415</v>
      </c>
      <c r="E46" s="26">
        <f t="shared" si="6"/>
        <v>18504801</v>
      </c>
      <c r="F46" s="26">
        <v>0</v>
      </c>
      <c r="G46" s="46">
        <f t="shared" si="0"/>
        <v>0</v>
      </c>
      <c r="H46" s="41">
        <f t="shared" si="11"/>
        <v>0</v>
      </c>
      <c r="I46" s="46">
        <f t="shared" si="12"/>
        <v>0</v>
      </c>
      <c r="J46" s="41">
        <f t="shared" si="13"/>
        <v>0</v>
      </c>
      <c r="K46" s="46">
        <f t="shared" si="7"/>
        <v>0</v>
      </c>
      <c r="L46" s="41">
        <f t="shared" si="14"/>
        <v>0</v>
      </c>
      <c r="M46" s="46">
        <f t="shared" si="8"/>
        <v>0</v>
      </c>
      <c r="N46" s="41">
        <f t="shared" si="15"/>
        <v>0</v>
      </c>
      <c r="O46" s="45">
        <f t="shared" si="9"/>
        <v>0</v>
      </c>
      <c r="P46" s="27">
        <f t="shared" si="10"/>
        <v>0</v>
      </c>
      <c r="Q46" s="47">
        <f>IF(VLOOKUP(A46,'per line'!$A$6:$E$55,3,FALSE)&gt;0,P46/VLOOKUP(A46,'per line'!$A$6:$E$55,3,FALSE),0)</f>
        <v>0</v>
      </c>
    </row>
    <row r="47" spans="1:17" ht="12.75">
      <c r="A47" s="19" t="s">
        <v>50</v>
      </c>
      <c r="B47" s="19" t="s">
        <v>142</v>
      </c>
      <c r="C47" s="54">
        <v>37.62</v>
      </c>
      <c r="D47" s="55">
        <v>658734</v>
      </c>
      <c r="E47" s="26">
        <f t="shared" si="6"/>
        <v>24781573.08</v>
      </c>
      <c r="F47" s="26">
        <v>772320</v>
      </c>
      <c r="G47" s="46">
        <f t="shared" si="0"/>
        <v>0</v>
      </c>
      <c r="H47" s="41">
        <f t="shared" si="11"/>
        <v>0</v>
      </c>
      <c r="I47" s="46">
        <f t="shared" si="12"/>
        <v>0</v>
      </c>
      <c r="J47" s="41">
        <f t="shared" si="13"/>
        <v>0</v>
      </c>
      <c r="K47" s="46">
        <f t="shared" si="7"/>
        <v>0</v>
      </c>
      <c r="L47" s="41">
        <f t="shared" si="14"/>
        <v>0</v>
      </c>
      <c r="M47" s="46">
        <f t="shared" si="8"/>
        <v>0</v>
      </c>
      <c r="N47" s="41">
        <f t="shared" si="15"/>
        <v>0</v>
      </c>
      <c r="O47" s="45">
        <f t="shared" si="9"/>
        <v>0</v>
      </c>
      <c r="P47" s="27">
        <f t="shared" si="10"/>
        <v>0</v>
      </c>
      <c r="Q47" s="47">
        <f>IF(VLOOKUP(A47,'per line'!$A$6:$E$55,3,FALSE)&gt;0,P47/VLOOKUP(A47,'per line'!$A$6:$E$55,3,FALSE),0)</f>
        <v>0</v>
      </c>
    </row>
    <row r="48" spans="1:17" ht="12.75">
      <c r="A48" s="19" t="s">
        <v>50</v>
      </c>
      <c r="B48" s="19" t="s">
        <v>51</v>
      </c>
      <c r="C48" s="54">
        <v>19.1</v>
      </c>
      <c r="D48" s="55">
        <v>4932029</v>
      </c>
      <c r="E48" s="26">
        <f t="shared" si="6"/>
        <v>94201753.9</v>
      </c>
      <c r="F48" s="26">
        <v>0</v>
      </c>
      <c r="G48" s="46">
        <f t="shared" si="0"/>
        <v>0</v>
      </c>
      <c r="H48" s="41">
        <f t="shared" si="11"/>
        <v>0</v>
      </c>
      <c r="I48" s="46">
        <f t="shared" si="12"/>
        <v>0</v>
      </c>
      <c r="J48" s="41">
        <f t="shared" si="13"/>
        <v>0</v>
      </c>
      <c r="K48" s="46">
        <f t="shared" si="7"/>
        <v>0</v>
      </c>
      <c r="L48" s="41">
        <f t="shared" si="14"/>
        <v>0</v>
      </c>
      <c r="M48" s="46">
        <f t="shared" si="8"/>
        <v>0</v>
      </c>
      <c r="N48" s="41">
        <f t="shared" si="15"/>
        <v>0</v>
      </c>
      <c r="O48" s="45">
        <f t="shared" si="9"/>
        <v>0</v>
      </c>
      <c r="P48" s="27">
        <f t="shared" si="10"/>
        <v>0</v>
      </c>
      <c r="Q48" s="47">
        <f>IF(VLOOKUP(A48,'per line'!$A$6:$E$55,3,FALSE)&gt;0,P48/VLOOKUP(A48,'per line'!$A$6:$E$55,3,FALSE),0)</f>
        <v>0</v>
      </c>
    </row>
    <row r="49" spans="1:17" ht="12.75">
      <c r="A49" s="19" t="s">
        <v>52</v>
      </c>
      <c r="B49" s="19" t="s">
        <v>185</v>
      </c>
      <c r="C49" s="54">
        <v>64.41</v>
      </c>
      <c r="D49" s="55">
        <v>116134</v>
      </c>
      <c r="E49" s="26">
        <f t="shared" si="6"/>
        <v>7480190.9399999995</v>
      </c>
      <c r="F49" s="26">
        <v>0</v>
      </c>
      <c r="G49" s="46">
        <f t="shared" si="0"/>
        <v>0</v>
      </c>
      <c r="H49" s="41">
        <f t="shared" si="11"/>
        <v>0</v>
      </c>
      <c r="I49" s="46">
        <f t="shared" si="12"/>
        <v>0</v>
      </c>
      <c r="J49" s="41">
        <f t="shared" si="13"/>
        <v>0</v>
      </c>
      <c r="K49" s="46">
        <f t="shared" si="7"/>
        <v>0</v>
      </c>
      <c r="L49" s="41">
        <f t="shared" si="14"/>
        <v>0</v>
      </c>
      <c r="M49" s="46">
        <f t="shared" si="8"/>
        <v>0</v>
      </c>
      <c r="N49" s="41">
        <f t="shared" si="15"/>
        <v>0</v>
      </c>
      <c r="O49" s="45">
        <f t="shared" si="9"/>
        <v>0</v>
      </c>
      <c r="P49" s="27">
        <f t="shared" si="10"/>
        <v>0</v>
      </c>
      <c r="Q49" s="47">
        <f>IF(VLOOKUP(A49,'per line'!$A$6:$E$55,3,FALSE)&gt;0,P49/VLOOKUP(A49,'per line'!$A$6:$E$55,3,FALSE),0)</f>
        <v>0</v>
      </c>
    </row>
    <row r="50" spans="1:17" ht="12.75">
      <c r="A50" s="19" t="s">
        <v>52</v>
      </c>
      <c r="B50" s="19" t="s">
        <v>53</v>
      </c>
      <c r="C50" s="54">
        <v>20.53</v>
      </c>
      <c r="D50" s="55">
        <v>2103813</v>
      </c>
      <c r="E50" s="26">
        <f t="shared" si="6"/>
        <v>43191280.89</v>
      </c>
      <c r="F50" s="26">
        <v>0</v>
      </c>
      <c r="G50" s="46">
        <f t="shared" si="0"/>
        <v>0</v>
      </c>
      <c r="H50" s="41">
        <f t="shared" si="11"/>
        <v>0</v>
      </c>
      <c r="I50" s="46">
        <f t="shared" si="12"/>
        <v>0</v>
      </c>
      <c r="J50" s="41">
        <f t="shared" si="13"/>
        <v>0</v>
      </c>
      <c r="K50" s="46">
        <f t="shared" si="7"/>
        <v>0</v>
      </c>
      <c r="L50" s="41">
        <f t="shared" si="14"/>
        <v>0</v>
      </c>
      <c r="M50" s="46">
        <f t="shared" si="8"/>
        <v>0</v>
      </c>
      <c r="N50" s="41">
        <f t="shared" si="15"/>
        <v>0</v>
      </c>
      <c r="O50" s="45">
        <f t="shared" si="9"/>
        <v>0</v>
      </c>
      <c r="P50" s="27">
        <f t="shared" si="10"/>
        <v>0</v>
      </c>
      <c r="Q50" s="47">
        <f>IF(VLOOKUP(A50,'per line'!$A$6:$E$55,3,FALSE)&gt;0,P50/VLOOKUP(A50,'per line'!$A$6:$E$55,3,FALSE),0)</f>
        <v>0</v>
      </c>
    </row>
    <row r="51" spans="1:17" ht="12.75">
      <c r="A51" s="19" t="s">
        <v>54</v>
      </c>
      <c r="B51" s="19" t="s">
        <v>186</v>
      </c>
      <c r="C51" s="54">
        <v>55.15</v>
      </c>
      <c r="D51" s="55">
        <v>234135</v>
      </c>
      <c r="E51" s="26">
        <f t="shared" si="6"/>
        <v>12912545.25</v>
      </c>
      <c r="F51" s="26">
        <v>2503020</v>
      </c>
      <c r="G51" s="46">
        <f t="shared" si="0"/>
        <v>0</v>
      </c>
      <c r="H51" s="41">
        <f t="shared" si="11"/>
        <v>0</v>
      </c>
      <c r="I51" s="46">
        <f t="shared" si="12"/>
        <v>0</v>
      </c>
      <c r="J51" s="41">
        <f t="shared" si="13"/>
        <v>0</v>
      </c>
      <c r="K51" s="46">
        <f t="shared" si="7"/>
        <v>0</v>
      </c>
      <c r="L51" s="41">
        <f t="shared" si="14"/>
        <v>0</v>
      </c>
      <c r="M51" s="46">
        <f t="shared" si="8"/>
        <v>0</v>
      </c>
      <c r="N51" s="41">
        <f t="shared" si="15"/>
        <v>0</v>
      </c>
      <c r="O51" s="45">
        <f t="shared" si="9"/>
        <v>0</v>
      </c>
      <c r="P51" s="27">
        <f t="shared" si="10"/>
        <v>0</v>
      </c>
      <c r="Q51" s="47">
        <f>IF(VLOOKUP(A51,'per line'!$A$6:$E$55,3,FALSE)&gt;0,P51/VLOOKUP(A51,'per line'!$A$6:$E$55,3,FALSE),0)</f>
        <v>0</v>
      </c>
    </row>
    <row r="52" spans="1:17" ht="12.75">
      <c r="A52" s="19" t="s">
        <v>54</v>
      </c>
      <c r="B52" s="19" t="s">
        <v>143</v>
      </c>
      <c r="C52" s="54">
        <v>38.5</v>
      </c>
      <c r="D52" s="55">
        <v>119610</v>
      </c>
      <c r="E52" s="26">
        <f t="shared" si="6"/>
        <v>4604985</v>
      </c>
      <c r="F52" s="26">
        <v>6465756</v>
      </c>
      <c r="G52" s="46">
        <f t="shared" si="0"/>
        <v>0</v>
      </c>
      <c r="H52" s="41">
        <f t="shared" si="11"/>
        <v>0</v>
      </c>
      <c r="I52" s="46">
        <f t="shared" si="12"/>
        <v>0</v>
      </c>
      <c r="J52" s="41">
        <f t="shared" si="13"/>
        <v>0</v>
      </c>
      <c r="K52" s="46">
        <f t="shared" si="7"/>
        <v>0</v>
      </c>
      <c r="L52" s="41">
        <f t="shared" si="14"/>
        <v>0</v>
      </c>
      <c r="M52" s="46">
        <f t="shared" si="8"/>
        <v>0</v>
      </c>
      <c r="N52" s="41">
        <f t="shared" si="15"/>
        <v>0</v>
      </c>
      <c r="O52" s="45">
        <f t="shared" si="9"/>
        <v>0</v>
      </c>
      <c r="P52" s="27">
        <f t="shared" si="10"/>
        <v>0</v>
      </c>
      <c r="Q52" s="47">
        <f>IF(VLOOKUP(A52,'per line'!$A$6:$E$55,3,FALSE)&gt;0,P52/VLOOKUP(A52,'per line'!$A$6:$E$55,3,FALSE),0)</f>
        <v>0</v>
      </c>
    </row>
    <row r="53" spans="1:17" ht="12.75">
      <c r="A53" s="19" t="s">
        <v>54</v>
      </c>
      <c r="B53" s="19" t="s">
        <v>55</v>
      </c>
      <c r="C53" s="54">
        <v>21.38</v>
      </c>
      <c r="D53" s="55">
        <v>2368354</v>
      </c>
      <c r="E53" s="26">
        <f t="shared" si="6"/>
        <v>50635408.519999996</v>
      </c>
      <c r="F53" s="26">
        <v>0</v>
      </c>
      <c r="G53" s="46">
        <f t="shared" si="0"/>
        <v>0</v>
      </c>
      <c r="H53" s="41">
        <f t="shared" si="11"/>
        <v>0</v>
      </c>
      <c r="I53" s="46">
        <f t="shared" si="12"/>
        <v>0</v>
      </c>
      <c r="J53" s="41">
        <f t="shared" si="13"/>
        <v>0</v>
      </c>
      <c r="K53" s="46">
        <f t="shared" si="7"/>
        <v>0</v>
      </c>
      <c r="L53" s="41">
        <f t="shared" si="14"/>
        <v>0</v>
      </c>
      <c r="M53" s="46">
        <f t="shared" si="8"/>
        <v>0</v>
      </c>
      <c r="N53" s="41">
        <f t="shared" si="15"/>
        <v>0</v>
      </c>
      <c r="O53" s="45">
        <f t="shared" si="9"/>
        <v>0</v>
      </c>
      <c r="P53" s="27">
        <f t="shared" si="10"/>
        <v>0</v>
      </c>
      <c r="Q53" s="47">
        <f>IF(VLOOKUP(A53,'per line'!$A$6:$E$55,3,FALSE)&gt;0,P53/VLOOKUP(A53,'per line'!$A$6:$E$55,3,FALSE),0)</f>
        <v>0</v>
      </c>
    </row>
    <row r="54" spans="1:17" ht="12.75">
      <c r="A54" s="19" t="s">
        <v>56</v>
      </c>
      <c r="B54" s="19" t="s">
        <v>57</v>
      </c>
      <c r="C54" s="54">
        <v>38.34</v>
      </c>
      <c r="D54" s="55">
        <v>1224211</v>
      </c>
      <c r="E54" s="26">
        <f t="shared" si="6"/>
        <v>46936249.74</v>
      </c>
      <c r="F54" s="26">
        <v>7339776</v>
      </c>
      <c r="G54" s="46">
        <f t="shared" si="0"/>
        <v>0</v>
      </c>
      <c r="H54" s="41">
        <f t="shared" si="11"/>
        <v>0</v>
      </c>
      <c r="I54" s="46">
        <f t="shared" si="12"/>
        <v>0</v>
      </c>
      <c r="J54" s="41">
        <f t="shared" si="13"/>
        <v>0</v>
      </c>
      <c r="K54" s="46">
        <f t="shared" si="7"/>
        <v>0</v>
      </c>
      <c r="L54" s="41">
        <f t="shared" si="14"/>
        <v>0</v>
      </c>
      <c r="M54" s="46">
        <f t="shared" si="8"/>
        <v>0</v>
      </c>
      <c r="N54" s="41">
        <f t="shared" si="15"/>
        <v>0</v>
      </c>
      <c r="O54" s="45">
        <f t="shared" si="9"/>
        <v>0</v>
      </c>
      <c r="P54" s="27">
        <f t="shared" si="10"/>
        <v>0</v>
      </c>
      <c r="Q54" s="47">
        <f>IF(VLOOKUP(A54,'per line'!$A$6:$E$55,3,FALSE)&gt;0,P54/VLOOKUP(A54,'per line'!$A$6:$E$55,3,FALSE),0)</f>
        <v>0</v>
      </c>
    </row>
    <row r="55" spans="1:17" ht="12.75">
      <c r="A55" s="19" t="s">
        <v>58</v>
      </c>
      <c r="B55" s="19" t="s">
        <v>59</v>
      </c>
      <c r="C55" s="54">
        <v>29.95</v>
      </c>
      <c r="D55" s="55">
        <v>336539</v>
      </c>
      <c r="E55" s="26">
        <f t="shared" si="6"/>
        <v>10079343.049999999</v>
      </c>
      <c r="F55" s="26">
        <v>1762620</v>
      </c>
      <c r="G55" s="46">
        <f t="shared" si="0"/>
        <v>0</v>
      </c>
      <c r="H55" s="41">
        <f t="shared" si="11"/>
        <v>0</v>
      </c>
      <c r="I55" s="46">
        <f t="shared" si="12"/>
        <v>0</v>
      </c>
      <c r="J55" s="41">
        <f t="shared" si="13"/>
        <v>0</v>
      </c>
      <c r="K55" s="46">
        <f t="shared" si="7"/>
        <v>0</v>
      </c>
      <c r="L55" s="41">
        <f t="shared" si="14"/>
        <v>0</v>
      </c>
      <c r="M55" s="46">
        <f t="shared" si="8"/>
        <v>0</v>
      </c>
      <c r="N55" s="41">
        <f t="shared" si="15"/>
        <v>0</v>
      </c>
      <c r="O55" s="45">
        <f t="shared" si="9"/>
        <v>0</v>
      </c>
      <c r="P55" s="27">
        <f t="shared" si="10"/>
        <v>0</v>
      </c>
      <c r="Q55" s="47">
        <f>IF(VLOOKUP(A55,'per line'!$A$6:$E$55,3,FALSE)&gt;0,P55/VLOOKUP(A55,'per line'!$A$6:$E$55,3,FALSE),0)</f>
        <v>0</v>
      </c>
    </row>
    <row r="56" spans="1:17" ht="12.75">
      <c r="A56" s="19" t="s">
        <v>60</v>
      </c>
      <c r="B56" s="19" t="s">
        <v>61</v>
      </c>
      <c r="C56" s="54">
        <v>33.03</v>
      </c>
      <c r="D56" s="55">
        <v>1045627</v>
      </c>
      <c r="E56" s="26">
        <f t="shared" si="6"/>
        <v>34537059.81</v>
      </c>
      <c r="F56" s="26">
        <v>0</v>
      </c>
      <c r="G56" s="46">
        <f t="shared" si="0"/>
        <v>0</v>
      </c>
      <c r="H56" s="41">
        <f t="shared" si="11"/>
        <v>0</v>
      </c>
      <c r="I56" s="46">
        <f t="shared" si="12"/>
        <v>0</v>
      </c>
      <c r="J56" s="41">
        <f t="shared" si="13"/>
        <v>0</v>
      </c>
      <c r="K56" s="46">
        <f t="shared" si="7"/>
        <v>0</v>
      </c>
      <c r="L56" s="41">
        <f t="shared" si="14"/>
        <v>0</v>
      </c>
      <c r="M56" s="46">
        <f t="shared" si="8"/>
        <v>0</v>
      </c>
      <c r="N56" s="41">
        <f t="shared" si="15"/>
        <v>0</v>
      </c>
      <c r="O56" s="45">
        <f t="shared" si="9"/>
        <v>0</v>
      </c>
      <c r="P56" s="27">
        <f t="shared" si="10"/>
        <v>0</v>
      </c>
      <c r="Q56" s="47">
        <f>IF(VLOOKUP(A56,'per line'!$A$6:$E$55,3,FALSE)&gt;0,P56/VLOOKUP(A56,'per line'!$A$6:$E$55,3,FALSE),0)</f>
        <v>0</v>
      </c>
    </row>
    <row r="57" spans="1:17" ht="12.75">
      <c r="A57" s="19" t="s">
        <v>60</v>
      </c>
      <c r="B57" s="19" t="s">
        <v>62</v>
      </c>
      <c r="C57" s="54">
        <v>31.99</v>
      </c>
      <c r="D57" s="55">
        <v>245861</v>
      </c>
      <c r="E57" s="26">
        <f t="shared" si="6"/>
        <v>7865093.39</v>
      </c>
      <c r="F57" s="26">
        <v>0</v>
      </c>
      <c r="G57" s="46">
        <f t="shared" si="0"/>
        <v>0</v>
      </c>
      <c r="H57" s="41">
        <f t="shared" si="11"/>
        <v>0</v>
      </c>
      <c r="I57" s="46">
        <f t="shared" si="12"/>
        <v>0</v>
      </c>
      <c r="J57" s="41">
        <f t="shared" si="13"/>
        <v>0</v>
      </c>
      <c r="K57" s="46">
        <f t="shared" si="7"/>
        <v>0</v>
      </c>
      <c r="L57" s="41">
        <f t="shared" si="14"/>
        <v>0</v>
      </c>
      <c r="M57" s="46">
        <f t="shared" si="8"/>
        <v>0</v>
      </c>
      <c r="N57" s="41">
        <f t="shared" si="15"/>
        <v>0</v>
      </c>
      <c r="O57" s="45">
        <f t="shared" si="9"/>
        <v>0</v>
      </c>
      <c r="P57" s="27">
        <f t="shared" si="10"/>
        <v>0</v>
      </c>
      <c r="Q57" s="47">
        <f>IF(VLOOKUP(A57,'per line'!$A$6:$E$55,3,FALSE)&gt;0,P57/VLOOKUP(A57,'per line'!$A$6:$E$55,3,FALSE),0)</f>
        <v>0</v>
      </c>
    </row>
    <row r="58" spans="1:17" ht="12.75">
      <c r="A58" s="19" t="s">
        <v>60</v>
      </c>
      <c r="B58" s="19" t="s">
        <v>187</v>
      </c>
      <c r="C58" s="54">
        <v>42.89</v>
      </c>
      <c r="D58" s="55">
        <v>126022</v>
      </c>
      <c r="E58" s="26">
        <f t="shared" si="6"/>
        <v>5405083.58</v>
      </c>
      <c r="F58" s="26">
        <v>4430112</v>
      </c>
      <c r="G58" s="46">
        <f t="shared" si="0"/>
        <v>0</v>
      </c>
      <c r="H58" s="41">
        <f t="shared" si="11"/>
        <v>0</v>
      </c>
      <c r="I58" s="46">
        <f t="shared" si="12"/>
        <v>0</v>
      </c>
      <c r="J58" s="41">
        <f t="shared" si="13"/>
        <v>0</v>
      </c>
      <c r="K58" s="46">
        <f t="shared" si="7"/>
        <v>0</v>
      </c>
      <c r="L58" s="41">
        <f t="shared" si="14"/>
        <v>0</v>
      </c>
      <c r="M58" s="46">
        <f t="shared" si="8"/>
        <v>0</v>
      </c>
      <c r="N58" s="41">
        <f t="shared" si="15"/>
        <v>0</v>
      </c>
      <c r="O58" s="45">
        <f t="shared" si="9"/>
        <v>0</v>
      </c>
      <c r="P58" s="27">
        <f t="shared" si="10"/>
        <v>0</v>
      </c>
      <c r="Q58" s="47">
        <f>IF(VLOOKUP(A58,'per line'!$A$6:$E$55,3,FALSE)&gt;0,P58/VLOOKUP(A58,'per line'!$A$6:$E$55,3,FALSE),0)</f>
        <v>0</v>
      </c>
    </row>
    <row r="59" spans="1:17" ht="12.75">
      <c r="A59" s="19" t="s">
        <v>60</v>
      </c>
      <c r="B59" s="19" t="s">
        <v>144</v>
      </c>
      <c r="C59" s="54">
        <v>20.16</v>
      </c>
      <c r="D59" s="55">
        <v>188843</v>
      </c>
      <c r="E59" s="26">
        <f t="shared" si="6"/>
        <v>3807074.88</v>
      </c>
      <c r="F59" s="26">
        <v>40596</v>
      </c>
      <c r="G59" s="46">
        <f t="shared" si="0"/>
        <v>0</v>
      </c>
      <c r="H59" s="41">
        <f t="shared" si="11"/>
        <v>0</v>
      </c>
      <c r="I59" s="46">
        <f t="shared" si="12"/>
        <v>0</v>
      </c>
      <c r="J59" s="41">
        <f t="shared" si="13"/>
        <v>0</v>
      </c>
      <c r="K59" s="46">
        <f t="shared" si="7"/>
        <v>0</v>
      </c>
      <c r="L59" s="41">
        <f t="shared" si="14"/>
        <v>0</v>
      </c>
      <c r="M59" s="46">
        <f t="shared" si="8"/>
        <v>0</v>
      </c>
      <c r="N59" s="41">
        <f t="shared" si="15"/>
        <v>0</v>
      </c>
      <c r="O59" s="45">
        <f t="shared" si="9"/>
        <v>0</v>
      </c>
      <c r="P59" s="27">
        <f t="shared" si="10"/>
        <v>0</v>
      </c>
      <c r="Q59" s="47">
        <f>IF(VLOOKUP(A59,'per line'!$A$6:$E$55,3,FALSE)&gt;0,P59/VLOOKUP(A59,'per line'!$A$6:$E$55,3,FALSE),0)</f>
        <v>0</v>
      </c>
    </row>
    <row r="60" spans="1:17" ht="12.75">
      <c r="A60" s="19" t="s">
        <v>60</v>
      </c>
      <c r="B60" s="19" t="s">
        <v>63</v>
      </c>
      <c r="C60" s="54">
        <v>20.35</v>
      </c>
      <c r="D60" s="55">
        <v>111211</v>
      </c>
      <c r="E60" s="26">
        <f t="shared" si="6"/>
        <v>2263143.85</v>
      </c>
      <c r="F60" s="26">
        <v>2469732</v>
      </c>
      <c r="G60" s="46">
        <f t="shared" si="0"/>
        <v>0</v>
      </c>
      <c r="H60" s="41">
        <f t="shared" si="11"/>
        <v>0</v>
      </c>
      <c r="I60" s="46">
        <f t="shared" si="12"/>
        <v>0</v>
      </c>
      <c r="J60" s="41">
        <f t="shared" si="13"/>
        <v>0</v>
      </c>
      <c r="K60" s="46">
        <f t="shared" si="7"/>
        <v>0</v>
      </c>
      <c r="L60" s="41">
        <f t="shared" si="14"/>
        <v>0</v>
      </c>
      <c r="M60" s="46">
        <f t="shared" si="8"/>
        <v>0</v>
      </c>
      <c r="N60" s="41">
        <f t="shared" si="15"/>
        <v>0</v>
      </c>
      <c r="O60" s="45">
        <f t="shared" si="9"/>
        <v>0</v>
      </c>
      <c r="P60" s="27">
        <f t="shared" si="10"/>
        <v>0</v>
      </c>
      <c r="Q60" s="47">
        <f>IF(VLOOKUP(A60,'per line'!$A$6:$E$55,3,FALSE)&gt;0,P60/VLOOKUP(A60,'per line'!$A$6:$E$55,3,FALSE),0)</f>
        <v>0</v>
      </c>
    </row>
    <row r="61" spans="1:17" ht="12.75">
      <c r="A61" s="19" t="s">
        <v>60</v>
      </c>
      <c r="B61" s="19" t="s">
        <v>64</v>
      </c>
      <c r="C61" s="54">
        <v>21.47</v>
      </c>
      <c r="D61" s="55">
        <v>2166681</v>
      </c>
      <c r="E61" s="26">
        <f t="shared" si="6"/>
        <v>46518641.07</v>
      </c>
      <c r="F61" s="26">
        <v>1786068</v>
      </c>
      <c r="G61" s="46">
        <f t="shared" si="0"/>
        <v>0</v>
      </c>
      <c r="H61" s="41">
        <f t="shared" si="11"/>
        <v>0</v>
      </c>
      <c r="I61" s="46">
        <f t="shared" si="12"/>
        <v>0</v>
      </c>
      <c r="J61" s="41">
        <f t="shared" si="13"/>
        <v>0</v>
      </c>
      <c r="K61" s="46">
        <f t="shared" si="7"/>
        <v>0</v>
      </c>
      <c r="L61" s="41">
        <f t="shared" si="14"/>
        <v>0</v>
      </c>
      <c r="M61" s="46">
        <f t="shared" si="8"/>
        <v>0</v>
      </c>
      <c r="N61" s="41">
        <f t="shared" si="15"/>
        <v>0</v>
      </c>
      <c r="O61" s="45">
        <f t="shared" si="9"/>
        <v>0</v>
      </c>
      <c r="P61" s="27">
        <f t="shared" si="10"/>
        <v>0</v>
      </c>
      <c r="Q61" s="47">
        <f>IF(VLOOKUP(A61,'per line'!$A$6:$E$55,3,FALSE)&gt;0,P61/VLOOKUP(A61,'per line'!$A$6:$E$55,3,FALSE),0)</f>
        <v>0</v>
      </c>
    </row>
    <row r="62" spans="1:17" ht="12.75">
      <c r="A62" s="19" t="s">
        <v>65</v>
      </c>
      <c r="B62" s="19" t="s">
        <v>66</v>
      </c>
      <c r="C62" s="54">
        <v>24.37</v>
      </c>
      <c r="D62" s="55">
        <v>243342</v>
      </c>
      <c r="E62" s="26">
        <f t="shared" si="6"/>
        <v>5930244.54</v>
      </c>
      <c r="F62" s="26">
        <v>0</v>
      </c>
      <c r="G62" s="46">
        <f t="shared" si="0"/>
        <v>0</v>
      </c>
      <c r="H62" s="41">
        <f t="shared" si="11"/>
        <v>0</v>
      </c>
      <c r="I62" s="46">
        <f t="shared" si="12"/>
        <v>0</v>
      </c>
      <c r="J62" s="41">
        <f t="shared" si="13"/>
        <v>0</v>
      </c>
      <c r="K62" s="46">
        <f t="shared" si="7"/>
        <v>0</v>
      </c>
      <c r="L62" s="41">
        <f t="shared" si="14"/>
        <v>0</v>
      </c>
      <c r="M62" s="46">
        <f t="shared" si="8"/>
        <v>0</v>
      </c>
      <c r="N62" s="41">
        <f t="shared" si="15"/>
        <v>0</v>
      </c>
      <c r="O62" s="45">
        <f t="shared" si="9"/>
        <v>0</v>
      </c>
      <c r="P62" s="27">
        <f t="shared" si="10"/>
        <v>0</v>
      </c>
      <c r="Q62" s="47">
        <f>IF(VLOOKUP(A62,'per line'!$A$6:$E$55,3,FALSE)&gt;0,P62/VLOOKUP(A62,'per line'!$A$6:$E$55,3,FALSE),0)</f>
        <v>0</v>
      </c>
    </row>
    <row r="63" spans="1:17" ht="12.75">
      <c r="A63" s="19" t="s">
        <v>67</v>
      </c>
      <c r="B63" s="19" t="s">
        <v>68</v>
      </c>
      <c r="C63" s="54">
        <v>31.25</v>
      </c>
      <c r="D63" s="55">
        <v>259554</v>
      </c>
      <c r="E63" s="26">
        <f t="shared" si="6"/>
        <v>8111062.5</v>
      </c>
      <c r="F63" s="26">
        <v>0</v>
      </c>
      <c r="G63" s="46">
        <f t="shared" si="0"/>
        <v>0</v>
      </c>
      <c r="H63" s="41">
        <f t="shared" si="11"/>
        <v>0</v>
      </c>
      <c r="I63" s="46">
        <f t="shared" si="12"/>
        <v>0</v>
      </c>
      <c r="J63" s="41">
        <f t="shared" si="13"/>
        <v>0</v>
      </c>
      <c r="K63" s="46">
        <f t="shared" si="7"/>
        <v>0</v>
      </c>
      <c r="L63" s="41">
        <f t="shared" si="14"/>
        <v>0</v>
      </c>
      <c r="M63" s="46">
        <f t="shared" si="8"/>
        <v>0</v>
      </c>
      <c r="N63" s="41">
        <f t="shared" si="15"/>
        <v>0</v>
      </c>
      <c r="O63" s="45">
        <f t="shared" si="9"/>
        <v>0</v>
      </c>
      <c r="P63" s="27">
        <f t="shared" si="10"/>
        <v>0</v>
      </c>
      <c r="Q63" s="47">
        <f>IF(VLOOKUP(A63,'per line'!$A$6:$E$55,3,FALSE)&gt;0,P63/VLOOKUP(A63,'per line'!$A$6:$E$55,3,FALSE),0)</f>
        <v>0</v>
      </c>
    </row>
    <row r="64" spans="1:17" ht="12.75">
      <c r="A64" s="19" t="s">
        <v>67</v>
      </c>
      <c r="B64" s="19" t="s">
        <v>69</v>
      </c>
      <c r="C64" s="54">
        <v>25.19</v>
      </c>
      <c r="D64" s="55">
        <v>518839</v>
      </c>
      <c r="E64" s="26">
        <f t="shared" si="6"/>
        <v>13069554.41</v>
      </c>
      <c r="F64" s="26">
        <v>0</v>
      </c>
      <c r="G64" s="46">
        <f t="shared" si="0"/>
        <v>0</v>
      </c>
      <c r="H64" s="41">
        <f t="shared" si="11"/>
        <v>0</v>
      </c>
      <c r="I64" s="46">
        <f t="shared" si="12"/>
        <v>0</v>
      </c>
      <c r="J64" s="41">
        <f t="shared" si="13"/>
        <v>0</v>
      </c>
      <c r="K64" s="46">
        <f t="shared" si="7"/>
        <v>0</v>
      </c>
      <c r="L64" s="41">
        <f t="shared" si="14"/>
        <v>0</v>
      </c>
      <c r="M64" s="46">
        <f t="shared" si="8"/>
        <v>0</v>
      </c>
      <c r="N64" s="41">
        <f t="shared" si="15"/>
        <v>0</v>
      </c>
      <c r="O64" s="45">
        <f t="shared" si="9"/>
        <v>0</v>
      </c>
      <c r="P64" s="27">
        <f t="shared" si="10"/>
        <v>0</v>
      </c>
      <c r="Q64" s="47">
        <f>IF(VLOOKUP(A64,'per line'!$A$6:$E$55,3,FALSE)&gt;0,P64/VLOOKUP(A64,'per line'!$A$6:$E$55,3,FALSE),0)</f>
        <v>0</v>
      </c>
    </row>
    <row r="65" spans="1:17" ht="12.75">
      <c r="A65" s="19" t="s">
        <v>70</v>
      </c>
      <c r="B65" s="19" t="s">
        <v>71</v>
      </c>
      <c r="C65" s="54">
        <v>23.61</v>
      </c>
      <c r="D65" s="55">
        <v>708389</v>
      </c>
      <c r="E65" s="26">
        <f t="shared" si="6"/>
        <v>16725064.29</v>
      </c>
      <c r="F65" s="26">
        <v>0</v>
      </c>
      <c r="G65" s="46">
        <f t="shared" si="0"/>
        <v>0</v>
      </c>
      <c r="H65" s="41">
        <f t="shared" si="11"/>
        <v>0</v>
      </c>
      <c r="I65" s="46">
        <f t="shared" si="12"/>
        <v>0</v>
      </c>
      <c r="J65" s="41">
        <f t="shared" si="13"/>
        <v>0</v>
      </c>
      <c r="K65" s="46">
        <f t="shared" si="7"/>
        <v>0</v>
      </c>
      <c r="L65" s="41">
        <f t="shared" si="14"/>
        <v>0</v>
      </c>
      <c r="M65" s="46">
        <f t="shared" si="8"/>
        <v>0</v>
      </c>
      <c r="N65" s="41">
        <f t="shared" si="15"/>
        <v>0</v>
      </c>
      <c r="O65" s="45">
        <f t="shared" si="9"/>
        <v>0</v>
      </c>
      <c r="P65" s="27">
        <f t="shared" si="10"/>
        <v>0</v>
      </c>
      <c r="Q65" s="47">
        <f>IF(VLOOKUP(A65,'per line'!$A$6:$E$55,3,FALSE)&gt;0,P65/VLOOKUP(A65,'per line'!$A$6:$E$55,3,FALSE),0)</f>
        <v>0</v>
      </c>
    </row>
    <row r="66" spans="1:17" ht="12.75">
      <c r="A66" s="19" t="s">
        <v>72</v>
      </c>
      <c r="B66" s="19" t="s">
        <v>73</v>
      </c>
      <c r="C66" s="54">
        <v>14.99</v>
      </c>
      <c r="D66" s="55">
        <v>5623659</v>
      </c>
      <c r="E66" s="26">
        <f t="shared" si="6"/>
        <v>84298648.41</v>
      </c>
      <c r="F66" s="26">
        <v>0</v>
      </c>
      <c r="G66" s="46">
        <f t="shared" si="0"/>
        <v>0</v>
      </c>
      <c r="H66" s="41">
        <f t="shared" si="11"/>
        <v>0</v>
      </c>
      <c r="I66" s="46">
        <f t="shared" si="12"/>
        <v>0</v>
      </c>
      <c r="J66" s="41">
        <f t="shared" si="13"/>
        <v>0</v>
      </c>
      <c r="K66" s="46">
        <f t="shared" si="7"/>
        <v>0</v>
      </c>
      <c r="L66" s="41">
        <f t="shared" si="14"/>
        <v>0</v>
      </c>
      <c r="M66" s="46">
        <f t="shared" si="8"/>
        <v>0</v>
      </c>
      <c r="N66" s="41">
        <f t="shared" si="15"/>
        <v>0</v>
      </c>
      <c r="O66" s="45">
        <f t="shared" si="9"/>
        <v>0</v>
      </c>
      <c r="P66" s="27">
        <f t="shared" si="10"/>
        <v>0</v>
      </c>
      <c r="Q66" s="47">
        <f>IF(VLOOKUP(A66,'per line'!$A$6:$E$55,3,FALSE)&gt;0,P66/VLOOKUP(A66,'per line'!$A$6:$E$55,3,FALSE),0)</f>
        <v>0</v>
      </c>
    </row>
    <row r="67" spans="1:17" ht="12.75">
      <c r="A67" s="19" t="s">
        <v>74</v>
      </c>
      <c r="B67" s="19" t="s">
        <v>75</v>
      </c>
      <c r="C67" s="54">
        <v>23.55</v>
      </c>
      <c r="D67" s="55">
        <v>742394</v>
      </c>
      <c r="E67" s="26">
        <f t="shared" si="6"/>
        <v>17483378.7</v>
      </c>
      <c r="F67" s="26">
        <v>4603776</v>
      </c>
      <c r="G67" s="46">
        <f t="shared" si="0"/>
        <v>0</v>
      </c>
      <c r="H67" s="41">
        <f t="shared" si="11"/>
        <v>0</v>
      </c>
      <c r="I67" s="46">
        <f t="shared" si="12"/>
        <v>0</v>
      </c>
      <c r="J67" s="41">
        <f t="shared" si="13"/>
        <v>0</v>
      </c>
      <c r="K67" s="46">
        <f t="shared" si="7"/>
        <v>0</v>
      </c>
      <c r="L67" s="41">
        <f t="shared" si="14"/>
        <v>0</v>
      </c>
      <c r="M67" s="46">
        <f t="shared" si="8"/>
        <v>0</v>
      </c>
      <c r="N67" s="41">
        <f t="shared" si="15"/>
        <v>0</v>
      </c>
      <c r="O67" s="45">
        <f t="shared" si="9"/>
        <v>0</v>
      </c>
      <c r="P67" s="27">
        <f t="shared" si="10"/>
        <v>0</v>
      </c>
      <c r="Q67" s="47">
        <f>IF(VLOOKUP(A67,'per line'!$A$6:$E$55,3,FALSE)&gt;0,P67/VLOOKUP(A67,'per line'!$A$6:$E$55,3,FALSE),0)</f>
        <v>0</v>
      </c>
    </row>
    <row r="68" spans="1:17" ht="12.75">
      <c r="A68" s="19" t="s">
        <v>76</v>
      </c>
      <c r="B68" s="19" t="s">
        <v>77</v>
      </c>
      <c r="C68" s="54">
        <v>14.31</v>
      </c>
      <c r="D68" s="55">
        <v>730274</v>
      </c>
      <c r="E68" s="26">
        <f t="shared" si="6"/>
        <v>10450220.94</v>
      </c>
      <c r="F68" s="26">
        <v>0</v>
      </c>
      <c r="G68" s="46">
        <f t="shared" si="0"/>
        <v>0</v>
      </c>
      <c r="H68" s="41">
        <f t="shared" si="11"/>
        <v>0</v>
      </c>
      <c r="I68" s="46">
        <f t="shared" si="12"/>
        <v>0</v>
      </c>
      <c r="J68" s="41">
        <f t="shared" si="13"/>
        <v>0</v>
      </c>
      <c r="K68" s="46">
        <f t="shared" si="7"/>
        <v>0</v>
      </c>
      <c r="L68" s="41">
        <f t="shared" si="14"/>
        <v>0</v>
      </c>
      <c r="M68" s="46">
        <f t="shared" si="8"/>
        <v>0</v>
      </c>
      <c r="N68" s="41">
        <f t="shared" si="15"/>
        <v>0</v>
      </c>
      <c r="O68" s="45">
        <f t="shared" si="9"/>
        <v>0</v>
      </c>
      <c r="P68" s="27">
        <f t="shared" si="10"/>
        <v>0</v>
      </c>
      <c r="Q68" s="47">
        <f>IF(VLOOKUP(A68,'per line'!$A$6:$E$55,3,FALSE)&gt;0,P68/VLOOKUP(A68,'per line'!$A$6:$E$55,3,FALSE),0)</f>
        <v>0</v>
      </c>
    </row>
    <row r="69" spans="1:17" ht="12.75">
      <c r="A69" s="19" t="s">
        <v>76</v>
      </c>
      <c r="B69" s="19" t="s">
        <v>78</v>
      </c>
      <c r="C69" s="54">
        <v>23.74</v>
      </c>
      <c r="D69" s="55">
        <v>308886</v>
      </c>
      <c r="E69" s="26">
        <f t="shared" si="6"/>
        <v>7332953.64</v>
      </c>
      <c r="F69" s="26">
        <v>0</v>
      </c>
      <c r="G69" s="46">
        <f t="shared" si="0"/>
        <v>0</v>
      </c>
      <c r="H69" s="41">
        <f t="shared" si="11"/>
        <v>0</v>
      </c>
      <c r="I69" s="46">
        <f t="shared" si="12"/>
        <v>0</v>
      </c>
      <c r="J69" s="41">
        <f t="shared" si="13"/>
        <v>0</v>
      </c>
      <c r="K69" s="46">
        <f t="shared" si="7"/>
        <v>0</v>
      </c>
      <c r="L69" s="41">
        <f t="shared" si="14"/>
        <v>0</v>
      </c>
      <c r="M69" s="46">
        <f t="shared" si="8"/>
        <v>0</v>
      </c>
      <c r="N69" s="41">
        <f t="shared" si="15"/>
        <v>0</v>
      </c>
      <c r="O69" s="45">
        <f t="shared" si="9"/>
        <v>0</v>
      </c>
      <c r="P69" s="27">
        <f t="shared" si="10"/>
        <v>0</v>
      </c>
      <c r="Q69" s="47">
        <f>IF(VLOOKUP(A69,'per line'!$A$6:$E$55,3,FALSE)&gt;0,P69/VLOOKUP(A69,'per line'!$A$6:$E$55,3,FALSE),0)</f>
        <v>0</v>
      </c>
    </row>
    <row r="70" spans="1:17" ht="12.75">
      <c r="A70" s="19" t="s">
        <v>79</v>
      </c>
      <c r="B70" s="19" t="s">
        <v>80</v>
      </c>
      <c r="C70" s="54">
        <v>16.03</v>
      </c>
      <c r="D70" s="55">
        <v>10765482</v>
      </c>
      <c r="E70" s="26">
        <f t="shared" si="6"/>
        <v>172570676.46</v>
      </c>
      <c r="F70" s="26">
        <v>0</v>
      </c>
      <c r="G70" s="46">
        <f t="shared" si="0"/>
        <v>0</v>
      </c>
      <c r="H70" s="41">
        <f t="shared" si="11"/>
        <v>0</v>
      </c>
      <c r="I70" s="46">
        <f t="shared" si="12"/>
        <v>0</v>
      </c>
      <c r="J70" s="41">
        <f t="shared" si="13"/>
        <v>0</v>
      </c>
      <c r="K70" s="46">
        <f t="shared" si="7"/>
        <v>0</v>
      </c>
      <c r="L70" s="41">
        <f t="shared" si="14"/>
        <v>0</v>
      </c>
      <c r="M70" s="46">
        <f t="shared" si="8"/>
        <v>0</v>
      </c>
      <c r="N70" s="41">
        <f t="shared" si="15"/>
        <v>0</v>
      </c>
      <c r="O70" s="45">
        <f t="shared" si="9"/>
        <v>0</v>
      </c>
      <c r="P70" s="27">
        <f t="shared" si="10"/>
        <v>0</v>
      </c>
      <c r="Q70" s="47">
        <f>IF(VLOOKUP(A70,'per line'!$A$6:$E$55,3,FALSE)&gt;0,P70/VLOOKUP(A70,'per line'!$A$6:$E$55,3,FALSE),0)</f>
        <v>0</v>
      </c>
    </row>
    <row r="71" spans="1:17" ht="12.75">
      <c r="A71" s="19" t="s">
        <v>79</v>
      </c>
      <c r="B71" s="19" t="s">
        <v>81</v>
      </c>
      <c r="C71" s="54">
        <v>18.74</v>
      </c>
      <c r="D71" s="55">
        <v>527349</v>
      </c>
      <c r="E71" s="26">
        <f t="shared" si="6"/>
        <v>9882520.26</v>
      </c>
      <c r="F71" s="26">
        <v>0</v>
      </c>
      <c r="G71" s="46">
        <f t="shared" si="0"/>
        <v>0</v>
      </c>
      <c r="H71" s="41">
        <f t="shared" si="11"/>
        <v>0</v>
      </c>
      <c r="I71" s="46">
        <f t="shared" si="12"/>
        <v>0</v>
      </c>
      <c r="J71" s="41">
        <f t="shared" si="13"/>
        <v>0</v>
      </c>
      <c r="K71" s="46">
        <f t="shared" si="7"/>
        <v>0</v>
      </c>
      <c r="L71" s="41">
        <f t="shared" si="14"/>
        <v>0</v>
      </c>
      <c r="M71" s="46">
        <f t="shared" si="8"/>
        <v>0</v>
      </c>
      <c r="N71" s="41">
        <f t="shared" si="15"/>
        <v>0</v>
      </c>
      <c r="O71" s="45">
        <f t="shared" si="9"/>
        <v>0</v>
      </c>
      <c r="P71" s="27">
        <f t="shared" si="10"/>
        <v>0</v>
      </c>
      <c r="Q71" s="47">
        <f>IF(VLOOKUP(A71,'per line'!$A$6:$E$55,3,FALSE)&gt;0,P71/VLOOKUP(A71,'per line'!$A$6:$E$55,3,FALSE),0)</f>
        <v>0</v>
      </c>
    </row>
    <row r="72" spans="1:17" ht="12.75">
      <c r="A72" s="19" t="s">
        <v>82</v>
      </c>
      <c r="B72" s="19" t="s">
        <v>83</v>
      </c>
      <c r="C72" s="54">
        <v>17.23</v>
      </c>
      <c r="D72" s="55">
        <v>747459</v>
      </c>
      <c r="E72" s="26">
        <f t="shared" si="6"/>
        <v>12878718.57</v>
      </c>
      <c r="F72" s="26">
        <v>0</v>
      </c>
      <c r="G72" s="46">
        <f t="shared" si="0"/>
        <v>0</v>
      </c>
      <c r="H72" s="41">
        <f t="shared" si="11"/>
        <v>0</v>
      </c>
      <c r="I72" s="46">
        <f t="shared" si="12"/>
        <v>0</v>
      </c>
      <c r="J72" s="41">
        <f t="shared" si="13"/>
        <v>0</v>
      </c>
      <c r="K72" s="46">
        <f t="shared" si="7"/>
        <v>0</v>
      </c>
      <c r="L72" s="41">
        <f t="shared" si="14"/>
        <v>0</v>
      </c>
      <c r="M72" s="46">
        <f t="shared" si="8"/>
        <v>0</v>
      </c>
      <c r="N72" s="41">
        <f t="shared" si="15"/>
        <v>0</v>
      </c>
      <c r="O72" s="45">
        <f t="shared" si="9"/>
        <v>0</v>
      </c>
      <c r="P72" s="27">
        <f t="shared" si="10"/>
        <v>0</v>
      </c>
      <c r="Q72" s="47">
        <f>IF(VLOOKUP(A72,'per line'!$A$6:$E$55,3,FALSE)&gt;0,P72/VLOOKUP(A72,'per line'!$A$6:$E$55,3,FALSE),0)</f>
        <v>0</v>
      </c>
    </row>
    <row r="73" spans="1:17" ht="12.75">
      <c r="A73" s="19" t="s">
        <v>82</v>
      </c>
      <c r="B73" s="19" t="s">
        <v>145</v>
      </c>
      <c r="C73" s="54">
        <v>36.17</v>
      </c>
      <c r="D73" s="55">
        <v>817983</v>
      </c>
      <c r="E73" s="26">
        <f t="shared" si="6"/>
        <v>29586445.110000003</v>
      </c>
      <c r="F73" s="26">
        <v>0</v>
      </c>
      <c r="G73" s="46">
        <f t="shared" si="0"/>
        <v>0</v>
      </c>
      <c r="H73" s="41">
        <f t="shared" si="11"/>
        <v>0</v>
      </c>
      <c r="I73" s="46">
        <f t="shared" si="12"/>
        <v>0</v>
      </c>
      <c r="J73" s="41">
        <f t="shared" si="13"/>
        <v>0</v>
      </c>
      <c r="K73" s="46">
        <f t="shared" si="7"/>
        <v>0</v>
      </c>
      <c r="L73" s="41">
        <f t="shared" si="14"/>
        <v>0</v>
      </c>
      <c r="M73" s="46">
        <f t="shared" si="8"/>
        <v>0</v>
      </c>
      <c r="N73" s="41">
        <f t="shared" si="15"/>
        <v>0</v>
      </c>
      <c r="O73" s="45">
        <f t="shared" si="9"/>
        <v>0</v>
      </c>
      <c r="P73" s="27">
        <f t="shared" si="10"/>
        <v>0</v>
      </c>
      <c r="Q73" s="47">
        <f>IF(VLOOKUP(A73,'per line'!$A$6:$E$55,3,FALSE)&gt;0,P73/VLOOKUP(A73,'per line'!$A$6:$E$55,3,FALSE),0)</f>
        <v>0</v>
      </c>
    </row>
    <row r="74" spans="1:17" ht="12.75">
      <c r="A74" s="19" t="s">
        <v>82</v>
      </c>
      <c r="B74" s="19" t="s">
        <v>84</v>
      </c>
      <c r="C74" s="54">
        <v>17.58</v>
      </c>
      <c r="D74" s="55">
        <v>3776240</v>
      </c>
      <c r="E74" s="26">
        <f t="shared" si="6"/>
        <v>66386299.199999996</v>
      </c>
      <c r="F74" s="26">
        <v>0</v>
      </c>
      <c r="G74" s="46">
        <f t="shared" si="0"/>
        <v>0</v>
      </c>
      <c r="H74" s="41">
        <f t="shared" si="11"/>
        <v>0</v>
      </c>
      <c r="I74" s="46">
        <f t="shared" si="12"/>
        <v>0</v>
      </c>
      <c r="J74" s="41">
        <f t="shared" si="13"/>
        <v>0</v>
      </c>
      <c r="K74" s="46">
        <f t="shared" si="7"/>
        <v>0</v>
      </c>
      <c r="L74" s="41">
        <f t="shared" si="14"/>
        <v>0</v>
      </c>
      <c r="M74" s="46">
        <f t="shared" si="8"/>
        <v>0</v>
      </c>
      <c r="N74" s="41">
        <f t="shared" si="15"/>
        <v>0</v>
      </c>
      <c r="O74" s="45">
        <f t="shared" si="9"/>
        <v>0</v>
      </c>
      <c r="P74" s="27">
        <f t="shared" si="10"/>
        <v>0</v>
      </c>
      <c r="Q74" s="47">
        <f>IF(VLOOKUP(A74,'per line'!$A$6:$E$55,3,FALSE)&gt;0,P74/VLOOKUP(A74,'per line'!$A$6:$E$55,3,FALSE),0)</f>
        <v>0</v>
      </c>
    </row>
    <row r="75" spans="1:17" ht="12.75">
      <c r="A75" s="19" t="s">
        <v>82</v>
      </c>
      <c r="B75" s="19" t="s">
        <v>85</v>
      </c>
      <c r="C75" s="54">
        <v>31.9</v>
      </c>
      <c r="D75" s="55">
        <v>554151</v>
      </c>
      <c r="E75" s="26">
        <f t="shared" si="6"/>
        <v>17677416.9</v>
      </c>
      <c r="F75" s="26">
        <v>0</v>
      </c>
      <c r="G75" s="46">
        <f t="shared" si="0"/>
        <v>0</v>
      </c>
      <c r="H75" s="41">
        <f t="shared" si="11"/>
        <v>0</v>
      </c>
      <c r="I75" s="46">
        <f t="shared" si="12"/>
        <v>0</v>
      </c>
      <c r="J75" s="41">
        <f t="shared" si="13"/>
        <v>0</v>
      </c>
      <c r="K75" s="46">
        <f t="shared" si="7"/>
        <v>0</v>
      </c>
      <c r="L75" s="41">
        <f t="shared" si="14"/>
        <v>0</v>
      </c>
      <c r="M75" s="46">
        <f t="shared" si="8"/>
        <v>0</v>
      </c>
      <c r="N75" s="41">
        <f t="shared" si="15"/>
        <v>0</v>
      </c>
      <c r="O75" s="45">
        <f t="shared" si="9"/>
        <v>0</v>
      </c>
      <c r="P75" s="27">
        <f t="shared" si="10"/>
        <v>0</v>
      </c>
      <c r="Q75" s="47">
        <f>IF(VLOOKUP(A75,'per line'!$A$6:$E$55,3,FALSE)&gt;0,P75/VLOOKUP(A75,'per line'!$A$6:$E$55,3,FALSE),0)</f>
        <v>0</v>
      </c>
    </row>
    <row r="76" spans="1:17" ht="12.75">
      <c r="A76" s="19" t="s">
        <v>86</v>
      </c>
      <c r="B76" s="19" t="s">
        <v>146</v>
      </c>
      <c r="C76" s="54">
        <v>34.16</v>
      </c>
      <c r="D76" s="55">
        <v>107886</v>
      </c>
      <c r="E76" s="26">
        <f aca="true" t="shared" si="16" ref="E76:E103">D76*C76</f>
        <v>3685385.76</v>
      </c>
      <c r="F76" s="26">
        <v>0</v>
      </c>
      <c r="G76" s="46">
        <f aca="true" t="shared" si="17" ref="G76:G103">H76/D76/12</f>
        <v>0</v>
      </c>
      <c r="H76" s="41">
        <f t="shared" si="11"/>
        <v>0</v>
      </c>
      <c r="I76" s="46">
        <f aca="true" t="shared" si="18" ref="I76:I103">J76/D76/12</f>
        <v>0</v>
      </c>
      <c r="J76" s="41">
        <f t="shared" si="13"/>
        <v>0</v>
      </c>
      <c r="K76" s="46">
        <f t="shared" si="7"/>
        <v>0</v>
      </c>
      <c r="L76" s="41">
        <f t="shared" si="14"/>
        <v>0</v>
      </c>
      <c r="M76" s="46">
        <f aca="true" t="shared" si="19" ref="M76:M103">N76/D76/12</f>
        <v>0</v>
      </c>
      <c r="N76" s="41">
        <f t="shared" si="15"/>
        <v>0</v>
      </c>
      <c r="O76" s="45">
        <f t="shared" si="9"/>
        <v>0</v>
      </c>
      <c r="P76" s="27">
        <f t="shared" si="10"/>
        <v>0</v>
      </c>
      <c r="Q76" s="47">
        <f>IF(VLOOKUP(A76,'per line'!$A$6:$E$55,3,FALSE)&gt;0,P76/VLOOKUP(A76,'per line'!$A$6:$E$55,3,FALSE),0)</f>
        <v>0</v>
      </c>
    </row>
    <row r="77" spans="1:17" ht="12.75">
      <c r="A77" s="19" t="s">
        <v>86</v>
      </c>
      <c r="B77" s="19" t="s">
        <v>87</v>
      </c>
      <c r="C77" s="54">
        <v>24.69</v>
      </c>
      <c r="D77" s="55">
        <v>1519540</v>
      </c>
      <c r="E77" s="26">
        <f t="shared" si="16"/>
        <v>37517442.6</v>
      </c>
      <c r="F77" s="26">
        <v>0</v>
      </c>
      <c r="G77" s="46">
        <f t="shared" si="17"/>
        <v>0</v>
      </c>
      <c r="H77" s="41">
        <f aca="true" t="shared" si="20" ref="H77:H103">IF(AND($C77&gt;$H$10*$C$105,$C77&lt;$J$10*$C$105),($C77-$H$10*$C$105)*$H$11*12*$D77,IF($C77&gt;$J$10*$C$105,($J$10-$H$10)*$C$105*$H$11*12*$D77,0))</f>
        <v>0</v>
      </c>
      <c r="I77" s="46">
        <f t="shared" si="18"/>
        <v>0</v>
      </c>
      <c r="J77" s="41">
        <f aca="true" t="shared" si="21" ref="J77:J103">IF(AND($C77&gt;$J$10*$C$105,$C77&lt;$L$10*$C$105),($C77-$J$10*$C$105)*$J$11*12*$D77,IF($C77&gt;$L$10*$C$105,($L$10-$J$10)*$C$105*$J$11*12*$D77,0))</f>
        <v>0</v>
      </c>
      <c r="K77" s="46">
        <f t="shared" si="7"/>
        <v>0</v>
      </c>
      <c r="L77" s="41">
        <f aca="true" t="shared" si="22" ref="L77:L103">IF(AND($C77&gt;$L$10*$C$105,$C77&lt;$N$10*$C$105),($C77-$L$10*$C$105)*$L$11*12*$D77,IF($C77&gt;$N$10*$C$105,($N$10-$L$10)*$C$105*$L$11*12*$D77,0))</f>
        <v>0</v>
      </c>
      <c r="M77" s="46">
        <f t="shared" si="19"/>
        <v>0</v>
      </c>
      <c r="N77" s="41">
        <f aca="true" t="shared" si="23" ref="N77:N103">IF($C77&gt;$N$10*$C$105,($C77-$N$10*$C$105)*$N$11*12*$D77,0)</f>
        <v>0</v>
      </c>
      <c r="O77" s="45">
        <f t="shared" si="9"/>
        <v>0</v>
      </c>
      <c r="P77" s="27">
        <f t="shared" si="10"/>
        <v>0</v>
      </c>
      <c r="Q77" s="47">
        <f>IF(VLOOKUP(A77,'per line'!$A$6:$E$55,3,FALSE)&gt;0,P77/VLOOKUP(A77,'per line'!$A$6:$E$55,3,FALSE),0)</f>
        <v>0</v>
      </c>
    </row>
    <row r="78" spans="1:17" ht="12.75">
      <c r="A78" s="19" t="s">
        <v>88</v>
      </c>
      <c r="B78" s="19" t="s">
        <v>147</v>
      </c>
      <c r="C78" s="54">
        <v>23.55</v>
      </c>
      <c r="D78" s="55">
        <v>430850</v>
      </c>
      <c r="E78" s="26">
        <f t="shared" si="16"/>
        <v>10146517.5</v>
      </c>
      <c r="F78" s="26">
        <v>0</v>
      </c>
      <c r="G78" s="46">
        <f t="shared" si="17"/>
        <v>0</v>
      </c>
      <c r="H78" s="41">
        <f t="shared" si="20"/>
        <v>0</v>
      </c>
      <c r="I78" s="46">
        <f t="shared" si="18"/>
        <v>0</v>
      </c>
      <c r="J78" s="41">
        <f t="shared" si="21"/>
        <v>0</v>
      </c>
      <c r="K78" s="46">
        <f aca="true" t="shared" si="24" ref="K78:K103">L78/D78/12</f>
        <v>0</v>
      </c>
      <c r="L78" s="41">
        <f t="shared" si="22"/>
        <v>0</v>
      </c>
      <c r="M78" s="46">
        <f t="shared" si="19"/>
        <v>0</v>
      </c>
      <c r="N78" s="41">
        <f t="shared" si="23"/>
        <v>0</v>
      </c>
      <c r="O78" s="45">
        <f aca="true" t="shared" si="25" ref="O78:O103">M78+I78+G78+K78</f>
        <v>0</v>
      </c>
      <c r="P78" s="27">
        <f aca="true" t="shared" si="26" ref="P78:P103">H78+J78+L78+N78</f>
        <v>0</v>
      </c>
      <c r="Q78" s="47">
        <f>IF(VLOOKUP(A78,'per line'!$A$6:$E$55,3,FALSE)&gt;0,P78/VLOOKUP(A78,'per line'!$A$6:$E$55,3,FALSE),0)</f>
        <v>0</v>
      </c>
    </row>
    <row r="79" spans="1:17" ht="12.75">
      <c r="A79" s="19" t="s">
        <v>88</v>
      </c>
      <c r="B79" s="19" t="s">
        <v>89</v>
      </c>
      <c r="C79" s="54">
        <v>19.87</v>
      </c>
      <c r="D79" s="55">
        <v>1258768</v>
      </c>
      <c r="E79" s="26">
        <f t="shared" si="16"/>
        <v>25011720.16</v>
      </c>
      <c r="F79" s="26">
        <v>17076</v>
      </c>
      <c r="G79" s="46">
        <f t="shared" si="17"/>
        <v>0</v>
      </c>
      <c r="H79" s="41">
        <f t="shared" si="20"/>
        <v>0</v>
      </c>
      <c r="I79" s="46">
        <f t="shared" si="18"/>
        <v>0</v>
      </c>
      <c r="J79" s="41">
        <f t="shared" si="21"/>
        <v>0</v>
      </c>
      <c r="K79" s="46">
        <f t="shared" si="24"/>
        <v>0</v>
      </c>
      <c r="L79" s="41">
        <f t="shared" si="22"/>
        <v>0</v>
      </c>
      <c r="M79" s="46">
        <f t="shared" si="19"/>
        <v>0</v>
      </c>
      <c r="N79" s="41">
        <f t="shared" si="23"/>
        <v>0</v>
      </c>
      <c r="O79" s="45">
        <f t="shared" si="25"/>
        <v>0</v>
      </c>
      <c r="P79" s="27">
        <f t="shared" si="26"/>
        <v>0</v>
      </c>
      <c r="Q79" s="47">
        <f>IF(VLOOKUP(A79,'per line'!$A$6:$E$55,3,FALSE)&gt;0,P79/VLOOKUP(A79,'per line'!$A$6:$E$55,3,FALSE),0)</f>
        <v>0</v>
      </c>
    </row>
    <row r="80" spans="1:17" ht="12.75">
      <c r="A80" s="19" t="s">
        <v>90</v>
      </c>
      <c r="B80" s="19" t="s">
        <v>91</v>
      </c>
      <c r="C80" s="54">
        <v>17.61</v>
      </c>
      <c r="D80" s="55">
        <v>5842150</v>
      </c>
      <c r="E80" s="26">
        <f t="shared" si="16"/>
        <v>102880261.5</v>
      </c>
      <c r="F80" s="26">
        <v>0</v>
      </c>
      <c r="G80" s="46">
        <f t="shared" si="17"/>
        <v>0</v>
      </c>
      <c r="H80" s="41">
        <f t="shared" si="20"/>
        <v>0</v>
      </c>
      <c r="I80" s="46">
        <f t="shared" si="18"/>
        <v>0</v>
      </c>
      <c r="J80" s="41">
        <f t="shared" si="21"/>
        <v>0</v>
      </c>
      <c r="K80" s="46">
        <f t="shared" si="24"/>
        <v>0</v>
      </c>
      <c r="L80" s="41">
        <f t="shared" si="22"/>
        <v>0</v>
      </c>
      <c r="M80" s="46">
        <f t="shared" si="19"/>
        <v>0</v>
      </c>
      <c r="N80" s="41">
        <f t="shared" si="23"/>
        <v>0</v>
      </c>
      <c r="O80" s="45">
        <f t="shared" si="25"/>
        <v>0</v>
      </c>
      <c r="P80" s="27">
        <f t="shared" si="26"/>
        <v>0</v>
      </c>
      <c r="Q80" s="47">
        <f>IF(VLOOKUP(A80,'per line'!$A$6:$E$55,3,FALSE)&gt;0,P80/VLOOKUP(A80,'per line'!$A$6:$E$55,3,FALSE),0)</f>
        <v>0</v>
      </c>
    </row>
    <row r="81" spans="1:17" ht="12.75">
      <c r="A81" s="19" t="s">
        <v>90</v>
      </c>
      <c r="B81" s="19" t="s">
        <v>148</v>
      </c>
      <c r="C81" s="54">
        <v>26.42</v>
      </c>
      <c r="D81" s="55">
        <v>502560</v>
      </c>
      <c r="E81" s="26">
        <f t="shared" si="16"/>
        <v>13277635.200000001</v>
      </c>
      <c r="F81" s="26">
        <v>0</v>
      </c>
      <c r="G81" s="46">
        <f t="shared" si="17"/>
        <v>0</v>
      </c>
      <c r="H81" s="41">
        <f t="shared" si="20"/>
        <v>0</v>
      </c>
      <c r="I81" s="46">
        <f t="shared" si="18"/>
        <v>0</v>
      </c>
      <c r="J81" s="41">
        <f t="shared" si="21"/>
        <v>0</v>
      </c>
      <c r="K81" s="46">
        <f t="shared" si="24"/>
        <v>0</v>
      </c>
      <c r="L81" s="41">
        <f t="shared" si="22"/>
        <v>0</v>
      </c>
      <c r="M81" s="46">
        <f t="shared" si="19"/>
        <v>0</v>
      </c>
      <c r="N81" s="41">
        <f t="shared" si="23"/>
        <v>0</v>
      </c>
      <c r="O81" s="45">
        <f t="shared" si="25"/>
        <v>0</v>
      </c>
      <c r="P81" s="27">
        <f t="shared" si="26"/>
        <v>0</v>
      </c>
      <c r="Q81" s="47">
        <f>IF(VLOOKUP(A81,'per line'!$A$6:$E$55,3,FALSE)&gt;0,P81/VLOOKUP(A81,'per line'!$A$6:$E$55,3,FALSE),0)</f>
        <v>0</v>
      </c>
    </row>
    <row r="82" spans="1:17" ht="12.75">
      <c r="A82" s="19" t="s">
        <v>92</v>
      </c>
      <c r="B82" s="19" t="s">
        <v>93</v>
      </c>
      <c r="C82" s="54">
        <v>17.22</v>
      </c>
      <c r="D82" s="55">
        <v>624292</v>
      </c>
      <c r="E82" s="26">
        <f t="shared" si="16"/>
        <v>10750308.239999998</v>
      </c>
      <c r="F82" s="26">
        <v>0</v>
      </c>
      <c r="G82" s="46">
        <f t="shared" si="17"/>
        <v>0</v>
      </c>
      <c r="H82" s="41">
        <f t="shared" si="20"/>
        <v>0</v>
      </c>
      <c r="I82" s="46">
        <f t="shared" si="18"/>
        <v>0</v>
      </c>
      <c r="J82" s="41">
        <f t="shared" si="21"/>
        <v>0</v>
      </c>
      <c r="K82" s="46">
        <f t="shared" si="24"/>
        <v>0</v>
      </c>
      <c r="L82" s="41">
        <f t="shared" si="22"/>
        <v>0</v>
      </c>
      <c r="M82" s="46">
        <f t="shared" si="19"/>
        <v>0</v>
      </c>
      <c r="N82" s="41">
        <f t="shared" si="23"/>
        <v>0</v>
      </c>
      <c r="O82" s="45">
        <f t="shared" si="25"/>
        <v>0</v>
      </c>
      <c r="P82" s="27">
        <f t="shared" si="26"/>
        <v>0</v>
      </c>
      <c r="Q82" s="47">
        <f>IF(VLOOKUP(A82,'per line'!$A$6:$E$55,3,FALSE)&gt;0,P82/VLOOKUP(A82,'per line'!$A$6:$E$55,3,FALSE),0)</f>
        <v>0</v>
      </c>
    </row>
    <row r="83" spans="1:17" ht="12.75">
      <c r="A83" s="19" t="s">
        <v>94</v>
      </c>
      <c r="B83" s="19" t="s">
        <v>149</v>
      </c>
      <c r="C83" s="54">
        <v>28.96</v>
      </c>
      <c r="D83" s="55">
        <v>175291</v>
      </c>
      <c r="E83" s="26">
        <f t="shared" si="16"/>
        <v>5076427.36</v>
      </c>
      <c r="F83" s="26">
        <v>0</v>
      </c>
      <c r="G83" s="46">
        <f t="shared" si="17"/>
        <v>0</v>
      </c>
      <c r="H83" s="41">
        <f t="shared" si="20"/>
        <v>0</v>
      </c>
      <c r="I83" s="46">
        <f t="shared" si="18"/>
        <v>0</v>
      </c>
      <c r="J83" s="41">
        <f t="shared" si="21"/>
        <v>0</v>
      </c>
      <c r="K83" s="46">
        <f t="shared" si="24"/>
        <v>0</v>
      </c>
      <c r="L83" s="41">
        <f t="shared" si="22"/>
        <v>0</v>
      </c>
      <c r="M83" s="46">
        <f t="shared" si="19"/>
        <v>0</v>
      </c>
      <c r="N83" s="41">
        <f t="shared" si="23"/>
        <v>0</v>
      </c>
      <c r="O83" s="45">
        <f t="shared" si="25"/>
        <v>0</v>
      </c>
      <c r="P83" s="27">
        <f t="shared" si="26"/>
        <v>0</v>
      </c>
      <c r="Q83" s="47">
        <f>IF(VLOOKUP(A83,'per line'!$A$6:$E$55,3,FALSE)&gt;0,P83/VLOOKUP(A83,'per line'!$A$6:$E$55,3,FALSE),0)</f>
        <v>0</v>
      </c>
    </row>
    <row r="84" spans="1:17" ht="12.75">
      <c r="A84" s="19" t="s">
        <v>94</v>
      </c>
      <c r="B84" s="19" t="s">
        <v>95</v>
      </c>
      <c r="C84" s="54">
        <v>24.66</v>
      </c>
      <c r="D84" s="55">
        <v>1335219</v>
      </c>
      <c r="E84" s="26">
        <f t="shared" si="16"/>
        <v>32926500.54</v>
      </c>
      <c r="F84" s="26">
        <v>5578296</v>
      </c>
      <c r="G84" s="46">
        <f t="shared" si="17"/>
        <v>0</v>
      </c>
      <c r="H84" s="41">
        <f t="shared" si="20"/>
        <v>0</v>
      </c>
      <c r="I84" s="46">
        <f t="shared" si="18"/>
        <v>0</v>
      </c>
      <c r="J84" s="41">
        <f t="shared" si="21"/>
        <v>0</v>
      </c>
      <c r="K84" s="46">
        <f t="shared" si="24"/>
        <v>0</v>
      </c>
      <c r="L84" s="41">
        <f t="shared" si="22"/>
        <v>0</v>
      </c>
      <c r="M84" s="46">
        <f t="shared" si="19"/>
        <v>0</v>
      </c>
      <c r="N84" s="41">
        <f t="shared" si="23"/>
        <v>0</v>
      </c>
      <c r="O84" s="45">
        <f t="shared" si="25"/>
        <v>0</v>
      </c>
      <c r="P84" s="27">
        <f t="shared" si="26"/>
        <v>0</v>
      </c>
      <c r="Q84" s="47">
        <f>IF(VLOOKUP(A84,'per line'!$A$6:$E$55,3,FALSE)&gt;0,P84/VLOOKUP(A84,'per line'!$A$6:$E$55,3,FALSE),0)</f>
        <v>0</v>
      </c>
    </row>
    <row r="85" spans="1:17" ht="12.75">
      <c r="A85" s="19" t="s">
        <v>96</v>
      </c>
      <c r="B85" s="19" t="s">
        <v>97</v>
      </c>
      <c r="C85" s="54">
        <v>27.3</v>
      </c>
      <c r="D85" s="55">
        <v>262654</v>
      </c>
      <c r="E85" s="26">
        <f t="shared" si="16"/>
        <v>7170454.2</v>
      </c>
      <c r="F85" s="26">
        <v>0</v>
      </c>
      <c r="G85" s="46">
        <f t="shared" si="17"/>
        <v>0</v>
      </c>
      <c r="H85" s="41">
        <f t="shared" si="20"/>
        <v>0</v>
      </c>
      <c r="I85" s="46">
        <f t="shared" si="18"/>
        <v>0</v>
      </c>
      <c r="J85" s="41">
        <f t="shared" si="21"/>
        <v>0</v>
      </c>
      <c r="K85" s="46">
        <f t="shared" si="24"/>
        <v>0</v>
      </c>
      <c r="L85" s="41">
        <f t="shared" si="22"/>
        <v>0</v>
      </c>
      <c r="M85" s="46">
        <f t="shared" si="19"/>
        <v>0</v>
      </c>
      <c r="N85" s="41">
        <f t="shared" si="23"/>
        <v>0</v>
      </c>
      <c r="O85" s="45">
        <f t="shared" si="25"/>
        <v>0</v>
      </c>
      <c r="P85" s="27">
        <f t="shared" si="26"/>
        <v>0</v>
      </c>
      <c r="Q85" s="47">
        <f>IF(VLOOKUP(A85,'per line'!$A$6:$E$55,3,FALSE)&gt;0,P85/VLOOKUP(A85,'per line'!$A$6:$E$55,3,FALSE),0)</f>
        <v>0</v>
      </c>
    </row>
    <row r="86" spans="1:17" ht="12.75">
      <c r="A86" s="19" t="s">
        <v>98</v>
      </c>
      <c r="B86" s="19" t="s">
        <v>99</v>
      </c>
      <c r="C86" s="54">
        <v>24.96</v>
      </c>
      <c r="D86" s="55">
        <v>2470701</v>
      </c>
      <c r="E86" s="26">
        <f t="shared" si="16"/>
        <v>61668696.96</v>
      </c>
      <c r="F86" s="26">
        <v>0</v>
      </c>
      <c r="G86" s="46">
        <f t="shared" si="17"/>
        <v>0</v>
      </c>
      <c r="H86" s="41">
        <f t="shared" si="20"/>
        <v>0</v>
      </c>
      <c r="I86" s="46">
        <f t="shared" si="18"/>
        <v>0</v>
      </c>
      <c r="J86" s="41">
        <f t="shared" si="21"/>
        <v>0</v>
      </c>
      <c r="K86" s="46">
        <f t="shared" si="24"/>
        <v>0</v>
      </c>
      <c r="L86" s="41">
        <f t="shared" si="22"/>
        <v>0</v>
      </c>
      <c r="M86" s="46">
        <f t="shared" si="19"/>
        <v>0</v>
      </c>
      <c r="N86" s="41">
        <f t="shared" si="23"/>
        <v>0</v>
      </c>
      <c r="O86" s="45">
        <f t="shared" si="25"/>
        <v>0</v>
      </c>
      <c r="P86" s="27">
        <f t="shared" si="26"/>
        <v>0</v>
      </c>
      <c r="Q86" s="47">
        <f>IF(VLOOKUP(A86,'per line'!$A$6:$E$55,3,FALSE)&gt;0,P86/VLOOKUP(A86,'per line'!$A$6:$E$55,3,FALSE),0)</f>
        <v>0</v>
      </c>
    </row>
    <row r="87" spans="1:17" ht="12.75">
      <c r="A87" s="19" t="s">
        <v>98</v>
      </c>
      <c r="B87" s="19" t="s">
        <v>100</v>
      </c>
      <c r="C87" s="54">
        <v>26.58</v>
      </c>
      <c r="D87" s="55">
        <v>232393</v>
      </c>
      <c r="E87" s="26">
        <f t="shared" si="16"/>
        <v>6177005.9399999995</v>
      </c>
      <c r="F87" s="26">
        <v>0</v>
      </c>
      <c r="G87" s="46">
        <f t="shared" si="17"/>
        <v>0</v>
      </c>
      <c r="H87" s="41">
        <f t="shared" si="20"/>
        <v>0</v>
      </c>
      <c r="I87" s="46">
        <f t="shared" si="18"/>
        <v>0</v>
      </c>
      <c r="J87" s="41">
        <f t="shared" si="21"/>
        <v>0</v>
      </c>
      <c r="K87" s="46">
        <f t="shared" si="24"/>
        <v>0</v>
      </c>
      <c r="L87" s="41">
        <f t="shared" si="22"/>
        <v>0</v>
      </c>
      <c r="M87" s="46">
        <f t="shared" si="19"/>
        <v>0</v>
      </c>
      <c r="N87" s="41">
        <f t="shared" si="23"/>
        <v>0</v>
      </c>
      <c r="O87" s="45">
        <f t="shared" si="25"/>
        <v>0</v>
      </c>
      <c r="P87" s="27">
        <f t="shared" si="26"/>
        <v>0</v>
      </c>
      <c r="Q87" s="47">
        <f>IF(VLOOKUP(A87,'per line'!$A$6:$E$55,3,FALSE)&gt;0,P87/VLOOKUP(A87,'per line'!$A$6:$E$55,3,FALSE),0)</f>
        <v>0</v>
      </c>
    </row>
    <row r="88" spans="1:17" ht="12.75">
      <c r="A88" s="19" t="s">
        <v>101</v>
      </c>
      <c r="B88" s="19" t="s">
        <v>102</v>
      </c>
      <c r="C88" s="54">
        <v>30.64</v>
      </c>
      <c r="D88" s="55">
        <v>185248</v>
      </c>
      <c r="E88" s="26">
        <f t="shared" si="16"/>
        <v>5675998.72</v>
      </c>
      <c r="F88" s="26">
        <v>5150976</v>
      </c>
      <c r="G88" s="46">
        <f t="shared" si="17"/>
        <v>0</v>
      </c>
      <c r="H88" s="41">
        <f t="shared" si="20"/>
        <v>0</v>
      </c>
      <c r="I88" s="46">
        <f t="shared" si="18"/>
        <v>0</v>
      </c>
      <c r="J88" s="41">
        <f t="shared" si="21"/>
        <v>0</v>
      </c>
      <c r="K88" s="46">
        <f t="shared" si="24"/>
        <v>0</v>
      </c>
      <c r="L88" s="41">
        <f t="shared" si="22"/>
        <v>0</v>
      </c>
      <c r="M88" s="46">
        <f t="shared" si="19"/>
        <v>0</v>
      </c>
      <c r="N88" s="41">
        <f t="shared" si="23"/>
        <v>0</v>
      </c>
      <c r="O88" s="45">
        <f t="shared" si="25"/>
        <v>0</v>
      </c>
      <c r="P88" s="27">
        <f t="shared" si="26"/>
        <v>0</v>
      </c>
      <c r="Q88" s="47">
        <f>IF(VLOOKUP(A88,'per line'!$A$6:$E$55,3,FALSE)&gt;0,P88/VLOOKUP(A88,'per line'!$A$6:$E$55,3,FALSE),0)</f>
        <v>0</v>
      </c>
    </row>
    <row r="89" spans="1:17" ht="12.75">
      <c r="A89" s="19" t="s">
        <v>101</v>
      </c>
      <c r="B89" s="19" t="s">
        <v>188</v>
      </c>
      <c r="C89" s="54">
        <v>63.37</v>
      </c>
      <c r="D89" s="55">
        <v>223812</v>
      </c>
      <c r="E89" s="26">
        <f t="shared" si="16"/>
        <v>14182966.44</v>
      </c>
      <c r="F89" s="26">
        <v>495768</v>
      </c>
      <c r="G89" s="46">
        <f t="shared" si="17"/>
        <v>0</v>
      </c>
      <c r="H89" s="41">
        <f t="shared" si="20"/>
        <v>0</v>
      </c>
      <c r="I89" s="46">
        <f t="shared" si="18"/>
        <v>0</v>
      </c>
      <c r="J89" s="41">
        <f t="shared" si="21"/>
        <v>0</v>
      </c>
      <c r="K89" s="46">
        <f t="shared" si="24"/>
        <v>0</v>
      </c>
      <c r="L89" s="41">
        <f t="shared" si="22"/>
        <v>0</v>
      </c>
      <c r="M89" s="46">
        <f t="shared" si="19"/>
        <v>0</v>
      </c>
      <c r="N89" s="41">
        <f t="shared" si="23"/>
        <v>0</v>
      </c>
      <c r="O89" s="45">
        <f t="shared" si="25"/>
        <v>0</v>
      </c>
      <c r="P89" s="27">
        <f t="shared" si="26"/>
        <v>0</v>
      </c>
      <c r="Q89" s="47">
        <f>IF(VLOOKUP(A89,'per line'!$A$6:$E$55,3,FALSE)&gt;0,P89/VLOOKUP(A89,'per line'!$A$6:$E$55,3,FALSE),0)</f>
        <v>0</v>
      </c>
    </row>
    <row r="90" spans="1:17" ht="12.75">
      <c r="A90" s="19" t="s">
        <v>101</v>
      </c>
      <c r="B90" s="19" t="s">
        <v>150</v>
      </c>
      <c r="C90" s="54">
        <v>27.08</v>
      </c>
      <c r="D90" s="55">
        <v>1506518</v>
      </c>
      <c r="E90" s="26">
        <f t="shared" si="16"/>
        <v>40796507.44</v>
      </c>
      <c r="F90" s="26">
        <v>0</v>
      </c>
      <c r="G90" s="46">
        <f t="shared" si="17"/>
        <v>0</v>
      </c>
      <c r="H90" s="41">
        <f t="shared" si="20"/>
        <v>0</v>
      </c>
      <c r="I90" s="46">
        <f t="shared" si="18"/>
        <v>0</v>
      </c>
      <c r="J90" s="41">
        <f t="shared" si="21"/>
        <v>0</v>
      </c>
      <c r="K90" s="46">
        <f t="shared" si="24"/>
        <v>0</v>
      </c>
      <c r="L90" s="41">
        <f t="shared" si="22"/>
        <v>0</v>
      </c>
      <c r="M90" s="46">
        <f t="shared" si="19"/>
        <v>0</v>
      </c>
      <c r="N90" s="41">
        <f t="shared" si="23"/>
        <v>0</v>
      </c>
      <c r="O90" s="45">
        <f t="shared" si="25"/>
        <v>0</v>
      </c>
      <c r="P90" s="27">
        <f t="shared" si="26"/>
        <v>0</v>
      </c>
      <c r="Q90" s="47">
        <f>IF(VLOOKUP(A90,'per line'!$A$6:$E$55,3,FALSE)&gt;0,P90/VLOOKUP(A90,'per line'!$A$6:$E$55,3,FALSE),0)</f>
        <v>0</v>
      </c>
    </row>
    <row r="91" spans="1:17" ht="12.75">
      <c r="A91" s="19" t="s">
        <v>101</v>
      </c>
      <c r="B91" s="19" t="s">
        <v>103</v>
      </c>
      <c r="C91" s="54">
        <v>19.07</v>
      </c>
      <c r="D91" s="55">
        <v>8528179</v>
      </c>
      <c r="E91" s="26">
        <f t="shared" si="16"/>
        <v>162632373.53</v>
      </c>
      <c r="F91" s="26">
        <v>0</v>
      </c>
      <c r="G91" s="46">
        <f t="shared" si="17"/>
        <v>0</v>
      </c>
      <c r="H91" s="41">
        <f t="shared" si="20"/>
        <v>0</v>
      </c>
      <c r="I91" s="46">
        <f t="shared" si="18"/>
        <v>0</v>
      </c>
      <c r="J91" s="41">
        <f t="shared" si="21"/>
        <v>0</v>
      </c>
      <c r="K91" s="46">
        <f t="shared" si="24"/>
        <v>0</v>
      </c>
      <c r="L91" s="41">
        <f t="shared" si="22"/>
        <v>0</v>
      </c>
      <c r="M91" s="46">
        <f t="shared" si="19"/>
        <v>0</v>
      </c>
      <c r="N91" s="41">
        <f t="shared" si="23"/>
        <v>0</v>
      </c>
      <c r="O91" s="45">
        <f t="shared" si="25"/>
        <v>0</v>
      </c>
      <c r="P91" s="27">
        <f t="shared" si="26"/>
        <v>0</v>
      </c>
      <c r="Q91" s="47">
        <f>IF(VLOOKUP(A91,'per line'!$A$6:$E$55,3,FALSE)&gt;0,P91/VLOOKUP(A91,'per line'!$A$6:$E$55,3,FALSE),0)</f>
        <v>0</v>
      </c>
    </row>
    <row r="92" spans="1:17" ht="12.75">
      <c r="A92" s="19" t="s">
        <v>104</v>
      </c>
      <c r="B92" s="19" t="s">
        <v>105</v>
      </c>
      <c r="C92" s="54">
        <v>18.55</v>
      </c>
      <c r="D92" s="55">
        <v>981536</v>
      </c>
      <c r="E92" s="26">
        <f t="shared" si="16"/>
        <v>18207492.8</v>
      </c>
      <c r="F92" s="26">
        <v>0</v>
      </c>
      <c r="G92" s="46">
        <f t="shared" si="17"/>
        <v>0</v>
      </c>
      <c r="H92" s="41">
        <f t="shared" si="20"/>
        <v>0</v>
      </c>
      <c r="I92" s="46">
        <f t="shared" si="18"/>
        <v>0</v>
      </c>
      <c r="J92" s="41">
        <f t="shared" si="21"/>
        <v>0</v>
      </c>
      <c r="K92" s="46">
        <f t="shared" si="24"/>
        <v>0</v>
      </c>
      <c r="L92" s="41">
        <f t="shared" si="22"/>
        <v>0</v>
      </c>
      <c r="M92" s="46">
        <f t="shared" si="19"/>
        <v>0</v>
      </c>
      <c r="N92" s="41">
        <f t="shared" si="23"/>
        <v>0</v>
      </c>
      <c r="O92" s="45">
        <f t="shared" si="25"/>
        <v>0</v>
      </c>
      <c r="P92" s="27">
        <f t="shared" si="26"/>
        <v>0</v>
      </c>
      <c r="Q92" s="47">
        <f>IF(VLOOKUP(A92,'per line'!$A$6:$E$55,3,FALSE)&gt;0,P92/VLOOKUP(A92,'per line'!$A$6:$E$55,3,FALSE),0)</f>
        <v>0</v>
      </c>
    </row>
    <row r="93" spans="1:17" ht="12.75">
      <c r="A93" s="19" t="s">
        <v>106</v>
      </c>
      <c r="B93" s="19" t="s">
        <v>107</v>
      </c>
      <c r="C93" s="54">
        <v>19.17</v>
      </c>
      <c r="D93" s="55">
        <v>3174231</v>
      </c>
      <c r="E93" s="26">
        <f t="shared" si="16"/>
        <v>60850008.27</v>
      </c>
      <c r="F93" s="26">
        <v>0</v>
      </c>
      <c r="G93" s="46">
        <f t="shared" si="17"/>
        <v>0</v>
      </c>
      <c r="H93" s="41">
        <f t="shared" si="20"/>
        <v>0</v>
      </c>
      <c r="I93" s="46">
        <f t="shared" si="18"/>
        <v>0</v>
      </c>
      <c r="J93" s="41">
        <f t="shared" si="21"/>
        <v>0</v>
      </c>
      <c r="K93" s="46">
        <f t="shared" si="24"/>
        <v>0</v>
      </c>
      <c r="L93" s="41">
        <f t="shared" si="22"/>
        <v>0</v>
      </c>
      <c r="M93" s="46">
        <f t="shared" si="19"/>
        <v>0</v>
      </c>
      <c r="N93" s="41">
        <f t="shared" si="23"/>
        <v>0</v>
      </c>
      <c r="O93" s="45">
        <f t="shared" si="25"/>
        <v>0</v>
      </c>
      <c r="P93" s="27">
        <f t="shared" si="26"/>
        <v>0</v>
      </c>
      <c r="Q93" s="47">
        <f>IF(VLOOKUP(A93,'per line'!$A$6:$E$55,3,FALSE)&gt;0,P93/VLOOKUP(A93,'per line'!$A$6:$E$55,3,FALSE),0)</f>
        <v>0</v>
      </c>
    </row>
    <row r="94" spans="1:17" ht="12.75">
      <c r="A94" s="19" t="s">
        <v>106</v>
      </c>
      <c r="B94" s="19" t="s">
        <v>108</v>
      </c>
      <c r="C94" s="54">
        <v>41.96</v>
      </c>
      <c r="D94" s="55">
        <v>263787</v>
      </c>
      <c r="E94" s="26">
        <f t="shared" si="16"/>
        <v>11068502.52</v>
      </c>
      <c r="F94" s="26">
        <v>1263000</v>
      </c>
      <c r="G94" s="46">
        <f t="shared" si="17"/>
        <v>0</v>
      </c>
      <c r="H94" s="41">
        <f t="shared" si="20"/>
        <v>0</v>
      </c>
      <c r="I94" s="46">
        <f t="shared" si="18"/>
        <v>0</v>
      </c>
      <c r="J94" s="41">
        <f t="shared" si="21"/>
        <v>0</v>
      </c>
      <c r="K94" s="46">
        <f t="shared" si="24"/>
        <v>0</v>
      </c>
      <c r="L94" s="41">
        <f t="shared" si="22"/>
        <v>0</v>
      </c>
      <c r="M94" s="46">
        <f t="shared" si="19"/>
        <v>0</v>
      </c>
      <c r="N94" s="41">
        <f t="shared" si="23"/>
        <v>0</v>
      </c>
      <c r="O94" s="45">
        <f t="shared" si="25"/>
        <v>0</v>
      </c>
      <c r="P94" s="27">
        <f t="shared" si="26"/>
        <v>0</v>
      </c>
      <c r="Q94" s="47">
        <f>IF(VLOOKUP(A94,'per line'!$A$6:$E$55,3,FALSE)&gt;0,P94/VLOOKUP(A94,'per line'!$A$6:$E$55,3,FALSE),0)</f>
        <v>0</v>
      </c>
    </row>
    <row r="95" spans="1:17" ht="12.75">
      <c r="A95" s="19" t="s">
        <v>106</v>
      </c>
      <c r="B95" s="19" t="s">
        <v>189</v>
      </c>
      <c r="C95" s="54">
        <v>32.58</v>
      </c>
      <c r="D95" s="55">
        <v>483713</v>
      </c>
      <c r="E95" s="26">
        <f t="shared" si="16"/>
        <v>15759369.54</v>
      </c>
      <c r="F95" s="26">
        <v>0</v>
      </c>
      <c r="G95" s="46">
        <f t="shared" si="17"/>
        <v>0</v>
      </c>
      <c r="H95" s="41">
        <f t="shared" si="20"/>
        <v>0</v>
      </c>
      <c r="I95" s="46">
        <f t="shared" si="18"/>
        <v>0</v>
      </c>
      <c r="J95" s="41">
        <f t="shared" si="21"/>
        <v>0</v>
      </c>
      <c r="K95" s="46">
        <f t="shared" si="24"/>
        <v>0</v>
      </c>
      <c r="L95" s="41">
        <f t="shared" si="22"/>
        <v>0</v>
      </c>
      <c r="M95" s="46">
        <f t="shared" si="19"/>
        <v>0</v>
      </c>
      <c r="N95" s="41">
        <f t="shared" si="23"/>
        <v>0</v>
      </c>
      <c r="O95" s="45">
        <f t="shared" si="25"/>
        <v>0</v>
      </c>
      <c r="P95" s="27">
        <f t="shared" si="26"/>
        <v>0</v>
      </c>
      <c r="Q95" s="47">
        <f>IF(VLOOKUP(A95,'per line'!$A$6:$E$55,3,FALSE)&gt;0,P95/VLOOKUP(A95,'per line'!$A$6:$E$55,3,FALSE),0)</f>
        <v>0</v>
      </c>
    </row>
    <row r="96" spans="1:17" ht="12.75">
      <c r="A96" s="19" t="s">
        <v>106</v>
      </c>
      <c r="B96" s="19" t="s">
        <v>109</v>
      </c>
      <c r="C96" s="54">
        <v>44.9</v>
      </c>
      <c r="D96" s="55">
        <v>100166</v>
      </c>
      <c r="E96" s="26">
        <f t="shared" si="16"/>
        <v>4497453.399999999</v>
      </c>
      <c r="F96" s="26">
        <v>0</v>
      </c>
      <c r="G96" s="46">
        <f t="shared" si="17"/>
        <v>0</v>
      </c>
      <c r="H96" s="41">
        <f t="shared" si="20"/>
        <v>0</v>
      </c>
      <c r="I96" s="46">
        <f t="shared" si="18"/>
        <v>0</v>
      </c>
      <c r="J96" s="41">
        <f t="shared" si="21"/>
        <v>0</v>
      </c>
      <c r="K96" s="46">
        <f t="shared" si="24"/>
        <v>0</v>
      </c>
      <c r="L96" s="41">
        <f t="shared" si="22"/>
        <v>0</v>
      </c>
      <c r="M96" s="46">
        <f t="shared" si="19"/>
        <v>0</v>
      </c>
      <c r="N96" s="41">
        <f t="shared" si="23"/>
        <v>0</v>
      </c>
      <c r="O96" s="45">
        <f t="shared" si="25"/>
        <v>0</v>
      </c>
      <c r="P96" s="27">
        <f t="shared" si="26"/>
        <v>0</v>
      </c>
      <c r="Q96" s="47">
        <f>IF(VLOOKUP(A96,'per line'!$A$6:$E$55,3,FALSE)&gt;0,P96/VLOOKUP(A96,'per line'!$A$6:$E$55,3,FALSE),0)</f>
        <v>0</v>
      </c>
    </row>
    <row r="97" spans="1:17" ht="12.75">
      <c r="A97" s="19" t="s">
        <v>110</v>
      </c>
      <c r="B97" s="19" t="s">
        <v>111</v>
      </c>
      <c r="C97" s="54">
        <v>31.47</v>
      </c>
      <c r="D97" s="55">
        <v>313359</v>
      </c>
      <c r="E97" s="26">
        <f t="shared" si="16"/>
        <v>9861407.73</v>
      </c>
      <c r="F97" s="26">
        <v>1454568</v>
      </c>
      <c r="G97" s="46">
        <f t="shared" si="17"/>
        <v>0</v>
      </c>
      <c r="H97" s="41">
        <f t="shared" si="20"/>
        <v>0</v>
      </c>
      <c r="I97" s="46">
        <f t="shared" si="18"/>
        <v>0</v>
      </c>
      <c r="J97" s="41">
        <f t="shared" si="21"/>
        <v>0</v>
      </c>
      <c r="K97" s="46">
        <f t="shared" si="24"/>
        <v>0</v>
      </c>
      <c r="L97" s="41">
        <f t="shared" si="22"/>
        <v>0</v>
      </c>
      <c r="M97" s="46">
        <f t="shared" si="19"/>
        <v>0</v>
      </c>
      <c r="N97" s="41">
        <f t="shared" si="23"/>
        <v>0</v>
      </c>
      <c r="O97" s="45">
        <f t="shared" si="25"/>
        <v>0</v>
      </c>
      <c r="P97" s="27">
        <f t="shared" si="26"/>
        <v>0</v>
      </c>
      <c r="Q97" s="47">
        <f>IF(VLOOKUP(A97,'per line'!$A$6:$E$55,3,FALSE)&gt;0,P97/VLOOKUP(A97,'per line'!$A$6:$E$55,3,FALSE),0)</f>
        <v>0</v>
      </c>
    </row>
    <row r="98" spans="1:17" ht="12.75">
      <c r="A98" s="19" t="s">
        <v>112</v>
      </c>
      <c r="B98" s="19" t="s">
        <v>151</v>
      </c>
      <c r="C98" s="54">
        <v>21.91</v>
      </c>
      <c r="D98" s="55">
        <v>677548</v>
      </c>
      <c r="E98" s="26">
        <f t="shared" si="16"/>
        <v>14845076.68</v>
      </c>
      <c r="F98" s="26">
        <v>0</v>
      </c>
      <c r="G98" s="46">
        <f t="shared" si="17"/>
        <v>0</v>
      </c>
      <c r="H98" s="41">
        <f t="shared" si="20"/>
        <v>0</v>
      </c>
      <c r="I98" s="46">
        <f t="shared" si="18"/>
        <v>0</v>
      </c>
      <c r="J98" s="41">
        <f t="shared" si="21"/>
        <v>0</v>
      </c>
      <c r="K98" s="46">
        <f t="shared" si="24"/>
        <v>0</v>
      </c>
      <c r="L98" s="41">
        <f t="shared" si="22"/>
        <v>0</v>
      </c>
      <c r="M98" s="46">
        <f t="shared" si="19"/>
        <v>0</v>
      </c>
      <c r="N98" s="41">
        <f t="shared" si="23"/>
        <v>0</v>
      </c>
      <c r="O98" s="45">
        <f t="shared" si="25"/>
        <v>0</v>
      </c>
      <c r="P98" s="27">
        <f t="shared" si="26"/>
        <v>0</v>
      </c>
      <c r="Q98" s="47">
        <f>IF(VLOOKUP(A98,'per line'!$A$6:$E$55,3,FALSE)&gt;0,P98/VLOOKUP(A98,'per line'!$A$6:$E$55,3,FALSE),0)</f>
        <v>0</v>
      </c>
    </row>
    <row r="99" spans="1:17" ht="12.75">
      <c r="A99" s="19" t="s">
        <v>112</v>
      </c>
      <c r="B99" s="19" t="s">
        <v>113</v>
      </c>
      <c r="C99" s="54">
        <v>18.33</v>
      </c>
      <c r="D99" s="55">
        <v>2250796</v>
      </c>
      <c r="E99" s="26">
        <f t="shared" si="16"/>
        <v>41257090.68</v>
      </c>
      <c r="F99" s="26">
        <v>0</v>
      </c>
      <c r="G99" s="46">
        <f t="shared" si="17"/>
        <v>0</v>
      </c>
      <c r="H99" s="41">
        <f t="shared" si="20"/>
        <v>0</v>
      </c>
      <c r="I99" s="46">
        <f t="shared" si="18"/>
        <v>0</v>
      </c>
      <c r="J99" s="41">
        <f t="shared" si="21"/>
        <v>0</v>
      </c>
      <c r="K99" s="46">
        <f t="shared" si="24"/>
        <v>0</v>
      </c>
      <c r="L99" s="41">
        <f t="shared" si="22"/>
        <v>0</v>
      </c>
      <c r="M99" s="46">
        <f t="shared" si="19"/>
        <v>0</v>
      </c>
      <c r="N99" s="41">
        <f t="shared" si="23"/>
        <v>0</v>
      </c>
      <c r="O99" s="45">
        <f t="shared" si="25"/>
        <v>0</v>
      </c>
      <c r="P99" s="27">
        <f t="shared" si="26"/>
        <v>0</v>
      </c>
      <c r="Q99" s="47">
        <f>IF(VLOOKUP(A99,'per line'!$A$6:$E$55,3,FALSE)&gt;0,P99/VLOOKUP(A99,'per line'!$A$6:$E$55,3,FALSE),0)</f>
        <v>0</v>
      </c>
    </row>
    <row r="100" spans="1:17" ht="12.75">
      <c r="A100" s="19" t="s">
        <v>114</v>
      </c>
      <c r="B100" s="19" t="s">
        <v>152</v>
      </c>
      <c r="C100" s="54">
        <v>44.26</v>
      </c>
      <c r="D100" s="55">
        <v>456649</v>
      </c>
      <c r="E100" s="26">
        <f t="shared" si="16"/>
        <v>20211284.74</v>
      </c>
      <c r="F100" s="26">
        <v>0</v>
      </c>
      <c r="G100" s="46">
        <f t="shared" si="17"/>
        <v>0</v>
      </c>
      <c r="H100" s="41">
        <f t="shared" si="20"/>
        <v>0</v>
      </c>
      <c r="I100" s="46">
        <f t="shared" si="18"/>
        <v>0</v>
      </c>
      <c r="J100" s="41">
        <f t="shared" si="21"/>
        <v>0</v>
      </c>
      <c r="K100" s="46">
        <f t="shared" si="24"/>
        <v>0</v>
      </c>
      <c r="L100" s="41">
        <f t="shared" si="22"/>
        <v>0</v>
      </c>
      <c r="M100" s="46">
        <f t="shared" si="19"/>
        <v>0</v>
      </c>
      <c r="N100" s="41">
        <f t="shared" si="23"/>
        <v>0</v>
      </c>
      <c r="O100" s="45">
        <f t="shared" si="25"/>
        <v>0</v>
      </c>
      <c r="P100" s="27">
        <f t="shared" si="26"/>
        <v>0</v>
      </c>
      <c r="Q100" s="47">
        <f>IF(VLOOKUP(A100,'per line'!$A$6:$E$55,3,FALSE)&gt;0,P100/VLOOKUP(A100,'per line'!$A$6:$E$55,3,FALSE),0)</f>
        <v>0</v>
      </c>
    </row>
    <row r="101" spans="1:17" ht="12.75">
      <c r="A101" s="19" t="s">
        <v>114</v>
      </c>
      <c r="B101" s="19" t="s">
        <v>115</v>
      </c>
      <c r="C101" s="54">
        <v>18.75</v>
      </c>
      <c r="D101" s="55">
        <v>2005228</v>
      </c>
      <c r="E101" s="26">
        <f t="shared" si="16"/>
        <v>37598025</v>
      </c>
      <c r="F101" s="26">
        <v>0</v>
      </c>
      <c r="G101" s="46">
        <f t="shared" si="17"/>
        <v>0</v>
      </c>
      <c r="H101" s="41">
        <f t="shared" si="20"/>
        <v>0</v>
      </c>
      <c r="I101" s="46">
        <f t="shared" si="18"/>
        <v>0</v>
      </c>
      <c r="J101" s="41">
        <f t="shared" si="21"/>
        <v>0</v>
      </c>
      <c r="K101" s="46">
        <f t="shared" si="24"/>
        <v>0</v>
      </c>
      <c r="L101" s="41">
        <f t="shared" si="22"/>
        <v>0</v>
      </c>
      <c r="M101" s="46">
        <f t="shared" si="19"/>
        <v>0</v>
      </c>
      <c r="N101" s="41">
        <f t="shared" si="23"/>
        <v>0</v>
      </c>
      <c r="O101" s="45">
        <f t="shared" si="25"/>
        <v>0</v>
      </c>
      <c r="P101" s="27">
        <f t="shared" si="26"/>
        <v>0</v>
      </c>
      <c r="Q101" s="47">
        <f>IF(VLOOKUP(A101,'per line'!$A$6:$E$55,3,FALSE)&gt;0,P101/VLOOKUP(A101,'per line'!$A$6:$E$55,3,FALSE),0)</f>
        <v>0</v>
      </c>
    </row>
    <row r="102" spans="1:17" ht="12.75">
      <c r="A102" s="19" t="s">
        <v>116</v>
      </c>
      <c r="B102" s="19" t="s">
        <v>117</v>
      </c>
      <c r="C102" s="54">
        <v>34.03</v>
      </c>
      <c r="D102" s="55">
        <v>773859</v>
      </c>
      <c r="E102" s="26">
        <f t="shared" si="16"/>
        <v>26334421.77</v>
      </c>
      <c r="F102" s="26">
        <v>1673112</v>
      </c>
      <c r="G102" s="46">
        <f t="shared" si="17"/>
        <v>0</v>
      </c>
      <c r="H102" s="41">
        <f t="shared" si="20"/>
        <v>0</v>
      </c>
      <c r="I102" s="46">
        <f t="shared" si="18"/>
        <v>0</v>
      </c>
      <c r="J102" s="41">
        <f t="shared" si="21"/>
        <v>0</v>
      </c>
      <c r="K102" s="46">
        <f t="shared" si="24"/>
        <v>0</v>
      </c>
      <c r="L102" s="41">
        <f t="shared" si="22"/>
        <v>0</v>
      </c>
      <c r="M102" s="46">
        <f t="shared" si="19"/>
        <v>0</v>
      </c>
      <c r="N102" s="41">
        <f t="shared" si="23"/>
        <v>0</v>
      </c>
      <c r="O102" s="45">
        <f t="shared" si="25"/>
        <v>0</v>
      </c>
      <c r="P102" s="27">
        <f t="shared" si="26"/>
        <v>0</v>
      </c>
      <c r="Q102" s="47">
        <f>IF(VLOOKUP(A102,'per line'!$A$6:$E$55,3,FALSE)&gt;0,P102/VLOOKUP(A102,'per line'!$A$6:$E$55,3,FALSE),0)</f>
        <v>0</v>
      </c>
    </row>
    <row r="103" spans="1:17" ht="12.75">
      <c r="A103" s="19" t="s">
        <v>118</v>
      </c>
      <c r="B103" s="19" t="s">
        <v>119</v>
      </c>
      <c r="C103" s="54">
        <v>33.55</v>
      </c>
      <c r="D103" s="55">
        <v>225950</v>
      </c>
      <c r="E103" s="26">
        <f t="shared" si="16"/>
        <v>7580622.499999999</v>
      </c>
      <c r="F103" s="26">
        <v>4445856</v>
      </c>
      <c r="G103" s="46">
        <f t="shared" si="17"/>
        <v>0</v>
      </c>
      <c r="H103" s="41">
        <f t="shared" si="20"/>
        <v>0</v>
      </c>
      <c r="I103" s="46">
        <f t="shared" si="18"/>
        <v>0</v>
      </c>
      <c r="J103" s="41">
        <f t="shared" si="21"/>
        <v>0</v>
      </c>
      <c r="K103" s="46">
        <f t="shared" si="24"/>
        <v>0</v>
      </c>
      <c r="L103" s="41">
        <f t="shared" si="22"/>
        <v>0</v>
      </c>
      <c r="M103" s="46">
        <f t="shared" si="19"/>
        <v>0</v>
      </c>
      <c r="N103" s="41">
        <f t="shared" si="23"/>
        <v>0</v>
      </c>
      <c r="O103" s="45">
        <f t="shared" si="25"/>
        <v>0</v>
      </c>
      <c r="P103" s="27">
        <f t="shared" si="26"/>
        <v>0</v>
      </c>
      <c r="Q103" s="47">
        <f>IF(VLOOKUP(A103,'per line'!$A$6:$E$55,3,FALSE)&gt;0,P103/VLOOKUP(A103,'per line'!$A$6:$E$55,3,FALSE),0)</f>
        <v>0</v>
      </c>
    </row>
    <row r="104" spans="1:17" ht="12.75">
      <c r="A104" s="19"/>
      <c r="B104" s="19"/>
      <c r="C104" s="19"/>
      <c r="D104" s="26"/>
      <c r="E104" s="19"/>
      <c r="F104" s="19"/>
      <c r="G104" s="19"/>
      <c r="H104" s="19"/>
      <c r="I104" s="19"/>
      <c r="J104" s="19"/>
      <c r="K104" s="19"/>
      <c r="L104" s="19"/>
      <c r="M104" s="19"/>
      <c r="N104" s="19"/>
      <c r="O104" s="19"/>
      <c r="P104" s="19"/>
      <c r="Q104" s="19"/>
    </row>
    <row r="105" spans="1:17" ht="12.75">
      <c r="A105" s="19"/>
      <c r="B105" s="19" t="s">
        <v>180</v>
      </c>
      <c r="C105" s="48">
        <f>E105/D105</f>
        <v>20.14172676363698</v>
      </c>
      <c r="D105" s="26">
        <f>SUM(D13:D104)</f>
        <v>149084110</v>
      </c>
      <c r="E105" s="27">
        <f>SUM(E13:E104)</f>
        <v>3002811408.4199996</v>
      </c>
      <c r="F105" s="27">
        <f>SUM(F13:F104)</f>
        <v>83483016</v>
      </c>
      <c r="G105" s="19"/>
      <c r="H105" s="27">
        <f>SUM(H13:H104)</f>
        <v>0</v>
      </c>
      <c r="I105" s="19"/>
      <c r="J105" s="27">
        <f>SUM(J13:J104)</f>
        <v>0</v>
      </c>
      <c r="K105" s="27"/>
      <c r="L105" s="27"/>
      <c r="M105" s="19"/>
      <c r="N105" s="27">
        <f>SUM(N13:N104)</f>
        <v>0</v>
      </c>
      <c r="O105" s="19"/>
      <c r="P105" s="27">
        <f>SUM(P13:P104)</f>
        <v>0</v>
      </c>
      <c r="Q105" s="19"/>
    </row>
    <row r="107" ht="12.75">
      <c r="C107" s="15"/>
    </row>
    <row r="112" ht="12.75">
      <c r="C112" s="15"/>
    </row>
  </sheetData>
  <dataValidations count="2">
    <dataValidation allowBlank="1" showInputMessage="1" showErrorMessage="1" promptTitle="Benchmark:" prompt="Enter a value greater than 100%." sqref="H10 J10 L10 N10"/>
    <dataValidation allowBlank="1" showInputMessage="1" showErrorMessage="1" promptTitle="Federal Payment:" prompt="Enter a value between 0 and 100%." sqref="H11 J11 L11 N11"/>
  </dataValidations>
  <printOptions gridLines="1" headings="1" horizontalCentered="1" verticalCentered="1"/>
  <pageMargins left="0.75" right="0.75" top="1" bottom="1" header="0.5" footer="0.5"/>
  <pageSetup horizontalDpi="600" verticalDpi="600" orientation="landscape" pageOrder="overThenDown" scale="92" r:id="rId2"/>
  <headerFooter alignWithMargins="0">
    <oddHeader>&amp;C&amp;"Arial,Bold"&amp;12Cost Benchmark Worksheet</oddHeader>
    <oddFooter>&amp;L&amp;D &amp;T &amp;CPage &amp;P of &amp;N&amp;R&amp;F</oddFooter>
  </headerFooter>
  <rowBreaks count="1" manualBreakCount="1">
    <brk id="91" max="16" man="1"/>
  </rowBreaks>
  <colBreaks count="1" manualBreakCount="1">
    <brk id="8" max="108" man="1"/>
  </colBreaks>
  <drawing r:id="rId1"/>
</worksheet>
</file>

<file path=xl/worksheets/sheet2.xml><?xml version="1.0" encoding="utf-8"?>
<worksheet xmlns="http://schemas.openxmlformats.org/spreadsheetml/2006/main" xmlns:r="http://schemas.openxmlformats.org/officeDocument/2006/relationships">
  <dimension ref="A1:E56"/>
  <sheetViews>
    <sheetView workbookViewId="0" topLeftCell="A1">
      <selection activeCell="C8" sqref="C8"/>
    </sheetView>
  </sheetViews>
  <sheetFormatPr defaultColWidth="9.140625" defaultRowHeight="12.75"/>
  <cols>
    <col min="2" max="2" width="13.7109375" style="12" customWidth="1"/>
    <col min="3" max="3" width="13.8515625" style="0" customWidth="1"/>
    <col min="4" max="4" width="15.57421875" style="0" customWidth="1"/>
    <col min="5" max="5" width="12.28125" style="0" bestFit="1" customWidth="1"/>
  </cols>
  <sheetData>
    <row r="1" ht="12.75">
      <c r="B1" s="17" t="s">
        <v>194</v>
      </c>
    </row>
    <row r="3" spans="3:4" ht="25.5">
      <c r="C3" s="16" t="s">
        <v>165</v>
      </c>
      <c r="D3" s="28">
        <v>0</v>
      </c>
    </row>
    <row r="5" spans="1:5" s="31" customFormat="1" ht="38.25">
      <c r="A5" s="29" t="s">
        <v>4</v>
      </c>
      <c r="B5" s="30" t="s">
        <v>168</v>
      </c>
      <c r="C5" s="31" t="s">
        <v>166</v>
      </c>
      <c r="D5" s="31" t="s">
        <v>167</v>
      </c>
      <c r="E5" s="31" t="s">
        <v>133</v>
      </c>
    </row>
    <row r="6" spans="1:5" ht="12.75">
      <c r="A6" t="s">
        <v>7</v>
      </c>
      <c r="B6" s="12">
        <f>SUMIF('cost benchmark'!$A$13:$A$107,A6,'cost benchmark'!$D$13:$D$107)</f>
        <v>2076140</v>
      </c>
      <c r="C6" s="12">
        <f>SUMIF('cost benchmark'!$A$13:$A$107,A6,'cost benchmark'!$P$13:$P$107)</f>
        <v>0</v>
      </c>
      <c r="D6" s="12">
        <f>MIN(C6,$D$3*B6*12)</f>
        <v>0</v>
      </c>
      <c r="E6" s="14">
        <f>MAX(0,C6-D6)</f>
        <v>0</v>
      </c>
    </row>
    <row r="7" spans="1:5" ht="12.75">
      <c r="A7" t="s">
        <v>9</v>
      </c>
      <c r="B7" s="12">
        <f>SUMIF('cost benchmark'!$A$13:$A$107,A7,'cost benchmark'!$D$13:$D$107)</f>
        <v>898814</v>
      </c>
      <c r="C7" s="12">
        <f>SUMIF('cost benchmark'!$A$13:$A$107,A7,'cost benchmark'!$P$13:$P$107)</f>
        <v>0</v>
      </c>
      <c r="D7" s="12">
        <f aca="true" t="shared" si="0" ref="D7:D55">MIN(C7,$D$3*B7*12)</f>
        <v>0</v>
      </c>
      <c r="E7" s="14">
        <f aca="true" t="shared" si="1" ref="E7:E55">MAX(0,C7-D7)</f>
        <v>0</v>
      </c>
    </row>
    <row r="8" spans="1:5" ht="12.75">
      <c r="A8" t="s">
        <v>11</v>
      </c>
      <c r="B8" s="12">
        <f>SUMIF('cost benchmark'!$A$13:$A$107,A8,'cost benchmark'!$D$13:$D$107)</f>
        <v>2389011</v>
      </c>
      <c r="C8" s="12">
        <f>SUMIF('cost benchmark'!$A$13:$A$107,A8,'cost benchmark'!$P$13:$P$107)</f>
        <v>0</v>
      </c>
      <c r="D8" s="12">
        <f t="shared" si="0"/>
        <v>0</v>
      </c>
      <c r="E8" s="14">
        <f t="shared" si="1"/>
        <v>0</v>
      </c>
    </row>
    <row r="9" spans="1:5" ht="12.75">
      <c r="A9" t="s">
        <v>13</v>
      </c>
      <c r="B9" s="12">
        <f>SUMIF('cost benchmark'!$A$13:$A$107,A9,'cost benchmark'!$D$13:$D$107)</f>
        <v>20236164</v>
      </c>
      <c r="C9" s="12">
        <f>SUMIF('cost benchmark'!$A$13:$A$107,A9,'cost benchmark'!$P$13:$P$107)</f>
        <v>0</v>
      </c>
      <c r="D9" s="12">
        <f t="shared" si="0"/>
        <v>0</v>
      </c>
      <c r="E9" s="14">
        <f t="shared" si="1"/>
        <v>0</v>
      </c>
    </row>
    <row r="10" spans="1:5" ht="12.75">
      <c r="A10" t="s">
        <v>17</v>
      </c>
      <c r="B10" s="12">
        <f>SUMIF('cost benchmark'!$A$13:$A$107,A10,'cost benchmark'!$D$13:$D$107)</f>
        <v>2384889</v>
      </c>
      <c r="C10" s="12">
        <f>SUMIF('cost benchmark'!$A$13:$A$107,A10,'cost benchmark'!$P$13:$P$107)</f>
        <v>0</v>
      </c>
      <c r="D10" s="12">
        <f t="shared" si="0"/>
        <v>0</v>
      </c>
      <c r="E10" s="14">
        <f t="shared" si="1"/>
        <v>0</v>
      </c>
    </row>
    <row r="11" spans="1:5" ht="12.75">
      <c r="A11" t="s">
        <v>19</v>
      </c>
      <c r="B11" s="12">
        <f>SUMIF('cost benchmark'!$A$13:$A$107,A11,'cost benchmark'!$D$13:$D$107)</f>
        <v>2099704</v>
      </c>
      <c r="C11" s="12">
        <f>SUMIF('cost benchmark'!$A$13:$A$107,A11,'cost benchmark'!$P$13:$P$107)</f>
        <v>0</v>
      </c>
      <c r="D11" s="12">
        <f t="shared" si="0"/>
        <v>0</v>
      </c>
      <c r="E11" s="14">
        <f t="shared" si="1"/>
        <v>0</v>
      </c>
    </row>
    <row r="12" spans="1:5" ht="12.75">
      <c r="A12" t="s">
        <v>21</v>
      </c>
      <c r="B12" s="12">
        <f>SUMIF('cost benchmark'!$A$13:$A$107,A12,'cost benchmark'!$D$13:$D$107)</f>
        <v>923018</v>
      </c>
      <c r="C12" s="12">
        <f>SUMIF('cost benchmark'!$A$13:$A$107,A12,'cost benchmark'!$P$13:$P$107)</f>
        <v>0</v>
      </c>
      <c r="D12" s="12">
        <f t="shared" si="0"/>
        <v>0</v>
      </c>
      <c r="E12" s="14">
        <f t="shared" si="1"/>
        <v>0</v>
      </c>
    </row>
    <row r="13" spans="1:5" ht="12.75">
      <c r="A13" t="s">
        <v>22</v>
      </c>
      <c r="B13" s="12">
        <f>SUMIF('cost benchmark'!$A$13:$A$107,A13,'cost benchmark'!$D$13:$D$107)</f>
        <v>500823</v>
      </c>
      <c r="C13" s="12">
        <f>SUMIF('cost benchmark'!$A$13:$A$107,A13,'cost benchmark'!$P$13:$P$107)</f>
        <v>0</v>
      </c>
      <c r="D13" s="12">
        <f t="shared" si="0"/>
        <v>0</v>
      </c>
      <c r="E13" s="14">
        <f t="shared" si="1"/>
        <v>0</v>
      </c>
    </row>
    <row r="14" spans="1:5" ht="12.75">
      <c r="A14" t="s">
        <v>24</v>
      </c>
      <c r="B14" s="12">
        <f>SUMIF('cost benchmark'!$A$13:$A$107,A14,'cost benchmark'!$D$13:$D$107)</f>
        <v>9664304</v>
      </c>
      <c r="C14" s="12">
        <f>SUMIF('cost benchmark'!$A$13:$A$107,A14,'cost benchmark'!$P$13:$P$107)</f>
        <v>0</v>
      </c>
      <c r="D14" s="12">
        <f t="shared" si="0"/>
        <v>0</v>
      </c>
      <c r="E14" s="14">
        <f t="shared" si="1"/>
        <v>0</v>
      </c>
    </row>
    <row r="15" spans="1:5" ht="12.75">
      <c r="A15" t="s">
        <v>26</v>
      </c>
      <c r="B15" s="12">
        <f>SUMIF('cost benchmark'!$A$13:$A$107,A15,'cost benchmark'!$D$13:$D$107)</f>
        <v>3598169</v>
      </c>
      <c r="C15" s="12">
        <f>SUMIF('cost benchmark'!$A$13:$A$107,A15,'cost benchmark'!$P$13:$P$107)</f>
        <v>0</v>
      </c>
      <c r="D15" s="12">
        <f t="shared" si="0"/>
        <v>0</v>
      </c>
      <c r="E15" s="14">
        <f t="shared" si="1"/>
        <v>0</v>
      </c>
    </row>
    <row r="16" spans="1:5" ht="12.75">
      <c r="A16" t="s">
        <v>28</v>
      </c>
      <c r="B16" s="12">
        <f>SUMIF('cost benchmark'!$A$13:$A$107,A16,'cost benchmark'!$D$13:$D$107)</f>
        <v>613082</v>
      </c>
      <c r="C16" s="12">
        <f>SUMIF('cost benchmark'!$A$13:$A$107,A16,'cost benchmark'!$P$13:$P$107)</f>
        <v>0</v>
      </c>
      <c r="D16" s="12">
        <f t="shared" si="0"/>
        <v>0</v>
      </c>
      <c r="E16" s="14">
        <f t="shared" si="1"/>
        <v>0</v>
      </c>
    </row>
    <row r="17" spans="1:5" ht="12.75">
      <c r="A17" t="s">
        <v>29</v>
      </c>
      <c r="B17" s="12">
        <f>SUMIF('cost benchmark'!$A$13:$A$107,A17,'cost benchmark'!$D$13:$D$107)</f>
        <v>1055858</v>
      </c>
      <c r="C17" s="12">
        <f>SUMIF('cost benchmark'!$A$13:$A$107,A17,'cost benchmark'!$P$13:$P$107)</f>
        <v>0</v>
      </c>
      <c r="D17" s="12">
        <f t="shared" si="0"/>
        <v>0</v>
      </c>
      <c r="E17" s="14">
        <f t="shared" si="1"/>
        <v>0</v>
      </c>
    </row>
    <row r="18" spans="1:5" ht="12.75">
      <c r="A18" t="s">
        <v>31</v>
      </c>
      <c r="B18" s="12">
        <f>SUMIF('cost benchmark'!$A$13:$A$107,A18,'cost benchmark'!$D$13:$D$107)</f>
        <v>472339</v>
      </c>
      <c r="C18" s="12">
        <f>SUMIF('cost benchmark'!$A$13:$A$107,A18,'cost benchmark'!$P$13:$P$107)</f>
        <v>0</v>
      </c>
      <c r="D18" s="12">
        <f t="shared" si="0"/>
        <v>0</v>
      </c>
      <c r="E18" s="14">
        <f t="shared" si="1"/>
        <v>0</v>
      </c>
    </row>
    <row r="19" spans="1:5" ht="12.75">
      <c r="A19" t="s">
        <v>33</v>
      </c>
      <c r="B19" s="12">
        <f>SUMIF('cost benchmark'!$A$13:$A$107,A19,'cost benchmark'!$D$13:$D$107)</f>
        <v>7070749</v>
      </c>
      <c r="C19" s="12">
        <f>SUMIF('cost benchmark'!$A$13:$A$107,A19,'cost benchmark'!$P$13:$P$107)</f>
        <v>0</v>
      </c>
      <c r="D19" s="12">
        <f t="shared" si="0"/>
        <v>0</v>
      </c>
      <c r="E19" s="14">
        <f t="shared" si="1"/>
        <v>0</v>
      </c>
    </row>
    <row r="20" spans="1:5" ht="12.75">
      <c r="A20" t="s">
        <v>35</v>
      </c>
      <c r="B20" s="12">
        <f>SUMIF('cost benchmark'!$A$13:$A$107,A20,'cost benchmark'!$D$13:$D$107)</f>
        <v>2724731</v>
      </c>
      <c r="C20" s="12">
        <f>SUMIF('cost benchmark'!$A$13:$A$107,A20,'cost benchmark'!$P$13:$P$107)</f>
        <v>0</v>
      </c>
      <c r="D20" s="12">
        <f t="shared" si="0"/>
        <v>0</v>
      </c>
      <c r="E20" s="14">
        <f t="shared" si="1"/>
        <v>0</v>
      </c>
    </row>
    <row r="21" spans="1:5" ht="12.75">
      <c r="A21" t="s">
        <v>37</v>
      </c>
      <c r="B21" s="12">
        <f>SUMIF('cost benchmark'!$A$13:$A$107,A21,'cost benchmark'!$D$13:$D$107)</f>
        <v>1239765</v>
      </c>
      <c r="C21" s="12">
        <f>SUMIF('cost benchmark'!$A$13:$A$107,A21,'cost benchmark'!$P$13:$P$107)</f>
        <v>0</v>
      </c>
      <c r="D21" s="12">
        <f t="shared" si="0"/>
        <v>0</v>
      </c>
      <c r="E21" s="14">
        <f t="shared" si="1"/>
        <v>0</v>
      </c>
    </row>
    <row r="22" spans="1:5" ht="12.75">
      <c r="A22" t="s">
        <v>39</v>
      </c>
      <c r="B22" s="12">
        <f>SUMIF('cost benchmark'!$A$13:$A$107,A22,'cost benchmark'!$D$13:$D$107)</f>
        <v>1719833</v>
      </c>
      <c r="C22" s="12">
        <f>SUMIF('cost benchmark'!$A$13:$A$107,A22,'cost benchmark'!$P$13:$P$107)</f>
        <v>0</v>
      </c>
      <c r="D22" s="12">
        <f t="shared" si="0"/>
        <v>0</v>
      </c>
      <c r="E22" s="14">
        <f t="shared" si="1"/>
        <v>0</v>
      </c>
    </row>
    <row r="23" spans="1:5" ht="12.75">
      <c r="A23" t="s">
        <v>42</v>
      </c>
      <c r="B23" s="12">
        <f>SUMIF('cost benchmark'!$A$13:$A$107,A23,'cost benchmark'!$D$13:$D$107)</f>
        <v>2130620</v>
      </c>
      <c r="C23" s="12">
        <f>SUMIF('cost benchmark'!$A$13:$A$107,A23,'cost benchmark'!$P$13:$P$107)</f>
        <v>0</v>
      </c>
      <c r="D23" s="12">
        <f t="shared" si="0"/>
        <v>0</v>
      </c>
      <c r="E23" s="14">
        <f t="shared" si="1"/>
        <v>0</v>
      </c>
    </row>
    <row r="24" spans="1:5" ht="12.75">
      <c r="A24" t="s">
        <v>44</v>
      </c>
      <c r="B24" s="12">
        <f>SUMIF('cost benchmark'!$A$13:$A$107,A24,'cost benchmark'!$D$13:$D$107)</f>
        <v>4109503</v>
      </c>
      <c r="C24" s="12">
        <f>SUMIF('cost benchmark'!$A$13:$A$107,A24,'cost benchmark'!$P$13:$P$107)</f>
        <v>0</v>
      </c>
      <c r="D24" s="12">
        <f t="shared" si="0"/>
        <v>0</v>
      </c>
      <c r="E24" s="14">
        <f t="shared" si="1"/>
        <v>0</v>
      </c>
    </row>
    <row r="25" spans="1:5" ht="12.75">
      <c r="A25" t="s">
        <v>46</v>
      </c>
      <c r="B25" s="12">
        <f>SUMIF('cost benchmark'!$A$13:$A$107,A25,'cost benchmark'!$D$13:$D$107)</f>
        <v>3332491</v>
      </c>
      <c r="C25" s="12">
        <f>SUMIF('cost benchmark'!$A$13:$A$107,A25,'cost benchmark'!$P$13:$P$107)</f>
        <v>0</v>
      </c>
      <c r="D25" s="12">
        <f t="shared" si="0"/>
        <v>0</v>
      </c>
      <c r="E25" s="14">
        <f t="shared" si="1"/>
        <v>0</v>
      </c>
    </row>
    <row r="26" spans="1:5" ht="12.75">
      <c r="A26" t="s">
        <v>48</v>
      </c>
      <c r="B26" s="12">
        <f>SUMIF('cost benchmark'!$A$13:$A$107,A26,'cost benchmark'!$D$13:$D$107)</f>
        <v>629415</v>
      </c>
      <c r="C26" s="12">
        <f>SUMIF('cost benchmark'!$A$13:$A$107,A26,'cost benchmark'!$P$13:$P$107)</f>
        <v>0</v>
      </c>
      <c r="D26" s="12">
        <f t="shared" si="0"/>
        <v>0</v>
      </c>
      <c r="E26" s="14">
        <f t="shared" si="1"/>
        <v>0</v>
      </c>
    </row>
    <row r="27" spans="1:5" ht="12.75">
      <c r="A27" t="s">
        <v>50</v>
      </c>
      <c r="B27" s="12">
        <f>SUMIF('cost benchmark'!$A$13:$A$107,A27,'cost benchmark'!$D$13:$D$107)</f>
        <v>5590763</v>
      </c>
      <c r="C27" s="12">
        <f>SUMIF('cost benchmark'!$A$13:$A$107,A27,'cost benchmark'!$P$13:$P$107)</f>
        <v>0</v>
      </c>
      <c r="D27" s="12">
        <f t="shared" si="0"/>
        <v>0</v>
      </c>
      <c r="E27" s="14">
        <f t="shared" si="1"/>
        <v>0</v>
      </c>
    </row>
    <row r="28" spans="1:5" ht="12.75">
      <c r="A28" t="s">
        <v>52</v>
      </c>
      <c r="B28" s="12">
        <f>SUMIF('cost benchmark'!$A$13:$A$107,A28,'cost benchmark'!$D$13:$D$107)</f>
        <v>2219947</v>
      </c>
      <c r="C28" s="12">
        <f>SUMIF('cost benchmark'!$A$13:$A$107,A28,'cost benchmark'!$P$13:$P$107)</f>
        <v>0</v>
      </c>
      <c r="D28" s="12">
        <f t="shared" si="0"/>
        <v>0</v>
      </c>
      <c r="E28" s="14">
        <f t="shared" si="1"/>
        <v>0</v>
      </c>
    </row>
    <row r="29" spans="1:5" ht="12.75">
      <c r="A29" t="s">
        <v>54</v>
      </c>
      <c r="B29" s="12">
        <f>SUMIF('cost benchmark'!$A$13:$A$107,A29,'cost benchmark'!$D$13:$D$107)</f>
        <v>2722099</v>
      </c>
      <c r="C29" s="12">
        <f>SUMIF('cost benchmark'!$A$13:$A$107,A29,'cost benchmark'!$P$13:$P$107)</f>
        <v>0</v>
      </c>
      <c r="D29" s="12">
        <f t="shared" si="0"/>
        <v>0</v>
      </c>
      <c r="E29" s="14">
        <f t="shared" si="1"/>
        <v>0</v>
      </c>
    </row>
    <row r="30" spans="1:5" ht="12.75">
      <c r="A30" t="s">
        <v>56</v>
      </c>
      <c r="B30" s="12">
        <f>SUMIF('cost benchmark'!$A$13:$A$107,A30,'cost benchmark'!$D$13:$D$107)</f>
        <v>1224211</v>
      </c>
      <c r="C30" s="12">
        <f>SUMIF('cost benchmark'!$A$13:$A$107,A30,'cost benchmark'!$P$13:$P$107)</f>
        <v>0</v>
      </c>
      <c r="D30" s="12">
        <f t="shared" si="0"/>
        <v>0</v>
      </c>
      <c r="E30" s="14">
        <f t="shared" si="1"/>
        <v>0</v>
      </c>
    </row>
    <row r="31" spans="1:5" ht="12.75">
      <c r="A31" t="s">
        <v>58</v>
      </c>
      <c r="B31" s="12">
        <f>SUMIF('cost benchmark'!$A$13:$A$107,A31,'cost benchmark'!$D$13:$D$107)</f>
        <v>336539</v>
      </c>
      <c r="C31" s="12">
        <f>SUMIF('cost benchmark'!$A$13:$A$107,A31,'cost benchmark'!$P$13:$P$107)</f>
        <v>0</v>
      </c>
      <c r="D31" s="12">
        <f t="shared" si="0"/>
        <v>0</v>
      </c>
      <c r="E31" s="14">
        <f t="shared" si="1"/>
        <v>0</v>
      </c>
    </row>
    <row r="32" spans="1:5" ht="12.75">
      <c r="A32" t="s">
        <v>60</v>
      </c>
      <c r="B32" s="12">
        <f>SUMIF('cost benchmark'!$A$13:$A$107,A32,'cost benchmark'!$D$13:$D$107)</f>
        <v>3884245</v>
      </c>
      <c r="C32" s="12">
        <f>SUMIF('cost benchmark'!$A$13:$A$107,A32,'cost benchmark'!$P$13:$P$107)</f>
        <v>0</v>
      </c>
      <c r="D32" s="12">
        <f t="shared" si="0"/>
        <v>0</v>
      </c>
      <c r="E32" s="14">
        <f t="shared" si="1"/>
        <v>0</v>
      </c>
    </row>
    <row r="33" spans="1:5" ht="12.75">
      <c r="A33" t="s">
        <v>65</v>
      </c>
      <c r="B33" s="12">
        <f>SUMIF('cost benchmark'!$A$13:$A$107,A33,'cost benchmark'!$D$13:$D$107)</f>
        <v>243342</v>
      </c>
      <c r="C33" s="12">
        <f>SUMIF('cost benchmark'!$A$13:$A$107,A33,'cost benchmark'!$P$13:$P$107)</f>
        <v>0</v>
      </c>
      <c r="D33" s="12">
        <f t="shared" si="0"/>
        <v>0</v>
      </c>
      <c r="E33" s="14">
        <f t="shared" si="1"/>
        <v>0</v>
      </c>
    </row>
    <row r="34" spans="1:5" ht="12.75">
      <c r="A34" t="s">
        <v>67</v>
      </c>
      <c r="B34" s="12">
        <f>SUMIF('cost benchmark'!$A$13:$A$107,A34,'cost benchmark'!$D$13:$D$107)</f>
        <v>778393</v>
      </c>
      <c r="C34" s="12">
        <f>SUMIF('cost benchmark'!$A$13:$A$107,A34,'cost benchmark'!$P$13:$P$107)</f>
        <v>0</v>
      </c>
      <c r="D34" s="12">
        <f t="shared" si="0"/>
        <v>0</v>
      </c>
      <c r="E34" s="14">
        <f t="shared" si="1"/>
        <v>0</v>
      </c>
    </row>
    <row r="35" spans="1:5" ht="12.75">
      <c r="A35" t="s">
        <v>70</v>
      </c>
      <c r="B35" s="12">
        <f>SUMIF('cost benchmark'!$A$13:$A$107,A35,'cost benchmark'!$D$13:$D$107)</f>
        <v>708389</v>
      </c>
      <c r="C35" s="12">
        <f>SUMIF('cost benchmark'!$A$13:$A$107,A35,'cost benchmark'!$P$13:$P$107)</f>
        <v>0</v>
      </c>
      <c r="D35" s="12">
        <f t="shared" si="0"/>
        <v>0</v>
      </c>
      <c r="E35" s="14">
        <f t="shared" si="1"/>
        <v>0</v>
      </c>
    </row>
    <row r="36" spans="1:5" ht="12.75">
      <c r="A36" t="s">
        <v>72</v>
      </c>
      <c r="B36" s="12">
        <f>SUMIF('cost benchmark'!$A$13:$A$107,A36,'cost benchmark'!$D$13:$D$107)</f>
        <v>5623659</v>
      </c>
      <c r="C36" s="12">
        <f>SUMIF('cost benchmark'!$A$13:$A$107,A36,'cost benchmark'!$P$13:$P$107)</f>
        <v>0</v>
      </c>
      <c r="D36" s="12">
        <f t="shared" si="0"/>
        <v>0</v>
      </c>
      <c r="E36" s="14">
        <f t="shared" si="1"/>
        <v>0</v>
      </c>
    </row>
    <row r="37" spans="1:5" ht="12.75">
      <c r="A37" t="s">
        <v>74</v>
      </c>
      <c r="B37" s="12">
        <f>SUMIF('cost benchmark'!$A$13:$A$107,A37,'cost benchmark'!$D$13:$D$107)</f>
        <v>742394</v>
      </c>
      <c r="C37" s="12">
        <f>SUMIF('cost benchmark'!$A$13:$A$107,A37,'cost benchmark'!$P$13:$P$107)</f>
        <v>0</v>
      </c>
      <c r="D37" s="12">
        <f t="shared" si="0"/>
        <v>0</v>
      </c>
      <c r="E37" s="14">
        <f t="shared" si="1"/>
        <v>0</v>
      </c>
    </row>
    <row r="38" spans="1:5" ht="12.75">
      <c r="A38" t="s">
        <v>76</v>
      </c>
      <c r="B38" s="12">
        <f>SUMIF('cost benchmark'!$A$13:$A$107,A38,'cost benchmark'!$D$13:$D$107)</f>
        <v>1039160</v>
      </c>
      <c r="C38" s="12">
        <f>SUMIF('cost benchmark'!$A$13:$A$107,A38,'cost benchmark'!$P$13:$P$107)</f>
        <v>0</v>
      </c>
      <c r="D38" s="12">
        <f t="shared" si="0"/>
        <v>0</v>
      </c>
      <c r="E38" s="14">
        <f t="shared" si="1"/>
        <v>0</v>
      </c>
    </row>
    <row r="39" spans="1:5" ht="12.75">
      <c r="A39" t="s">
        <v>79</v>
      </c>
      <c r="B39" s="12">
        <f>SUMIF('cost benchmark'!$A$13:$A$107,A39,'cost benchmark'!$D$13:$D$107)</f>
        <v>11292831</v>
      </c>
      <c r="C39" s="12">
        <f>SUMIF('cost benchmark'!$A$13:$A$107,A39,'cost benchmark'!$P$13:$P$107)</f>
        <v>0</v>
      </c>
      <c r="D39" s="12">
        <f t="shared" si="0"/>
        <v>0</v>
      </c>
      <c r="E39" s="14">
        <f t="shared" si="1"/>
        <v>0</v>
      </c>
    </row>
    <row r="40" spans="1:5" ht="12.75">
      <c r="A40" t="s">
        <v>82</v>
      </c>
      <c r="B40" s="12">
        <f>SUMIF('cost benchmark'!$A$13:$A$107,A40,'cost benchmark'!$D$13:$D$107)</f>
        <v>5895833</v>
      </c>
      <c r="C40" s="12">
        <f>SUMIF('cost benchmark'!$A$13:$A$107,A40,'cost benchmark'!$P$13:$P$107)</f>
        <v>0</v>
      </c>
      <c r="D40" s="12">
        <f t="shared" si="0"/>
        <v>0</v>
      </c>
      <c r="E40" s="14">
        <f t="shared" si="1"/>
        <v>0</v>
      </c>
    </row>
    <row r="41" spans="1:5" ht="12.75">
      <c r="A41" t="s">
        <v>86</v>
      </c>
      <c r="B41" s="12">
        <f>SUMIF('cost benchmark'!$A$13:$A$107,A41,'cost benchmark'!$D$13:$D$107)</f>
        <v>1627426</v>
      </c>
      <c r="C41" s="12">
        <f>SUMIF('cost benchmark'!$A$13:$A$107,A41,'cost benchmark'!$P$13:$P$107)</f>
        <v>0</v>
      </c>
      <c r="D41" s="12">
        <f t="shared" si="0"/>
        <v>0</v>
      </c>
      <c r="E41" s="14">
        <f t="shared" si="1"/>
        <v>0</v>
      </c>
    </row>
    <row r="42" spans="1:5" ht="12.75">
      <c r="A42" t="s">
        <v>88</v>
      </c>
      <c r="B42" s="12">
        <f>SUMIF('cost benchmark'!$A$13:$A$107,A42,'cost benchmark'!$D$13:$D$107)</f>
        <v>1689618</v>
      </c>
      <c r="C42" s="12">
        <f>SUMIF('cost benchmark'!$A$13:$A$107,A42,'cost benchmark'!$P$13:$P$107)</f>
        <v>0</v>
      </c>
      <c r="D42" s="12">
        <f t="shared" si="0"/>
        <v>0</v>
      </c>
      <c r="E42" s="14">
        <f t="shared" si="1"/>
        <v>0</v>
      </c>
    </row>
    <row r="43" spans="1:5" ht="12.75">
      <c r="A43" t="s">
        <v>90</v>
      </c>
      <c r="B43" s="12">
        <f>SUMIF('cost benchmark'!$A$13:$A$107,A43,'cost benchmark'!$D$13:$D$107)</f>
        <v>6344710</v>
      </c>
      <c r="C43" s="12">
        <f>SUMIF('cost benchmark'!$A$13:$A$107,A43,'cost benchmark'!$P$13:$P$107)</f>
        <v>0</v>
      </c>
      <c r="D43" s="12">
        <f t="shared" si="0"/>
        <v>0</v>
      </c>
      <c r="E43" s="14">
        <f t="shared" si="1"/>
        <v>0</v>
      </c>
    </row>
    <row r="44" spans="1:5" ht="12.75">
      <c r="A44" t="s">
        <v>92</v>
      </c>
      <c r="B44" s="12">
        <f>SUMIF('cost benchmark'!$A$13:$A$107,A44,'cost benchmark'!$D$13:$D$107)</f>
        <v>624292</v>
      </c>
      <c r="C44" s="12">
        <f>SUMIF('cost benchmark'!$A$13:$A$107,A44,'cost benchmark'!$P$13:$P$107)</f>
        <v>0</v>
      </c>
      <c r="D44" s="12">
        <f t="shared" si="0"/>
        <v>0</v>
      </c>
      <c r="E44" s="14">
        <f t="shared" si="1"/>
        <v>0</v>
      </c>
    </row>
    <row r="45" spans="1:5" ht="12.75">
      <c r="A45" t="s">
        <v>94</v>
      </c>
      <c r="B45" s="12">
        <f>SUMIF('cost benchmark'!$A$13:$A$107,A45,'cost benchmark'!$D$13:$D$107)</f>
        <v>1510510</v>
      </c>
      <c r="C45" s="12">
        <f>SUMIF('cost benchmark'!$A$13:$A$107,A45,'cost benchmark'!$P$13:$P$107)</f>
        <v>0</v>
      </c>
      <c r="D45" s="12">
        <f t="shared" si="0"/>
        <v>0</v>
      </c>
      <c r="E45" s="14">
        <f t="shared" si="1"/>
        <v>0</v>
      </c>
    </row>
    <row r="46" spans="1:5" ht="12.75">
      <c r="A46" t="s">
        <v>96</v>
      </c>
      <c r="B46" s="12">
        <f>SUMIF('cost benchmark'!$A$13:$A$107,A46,'cost benchmark'!$D$13:$D$107)</f>
        <v>262654</v>
      </c>
      <c r="C46" s="12">
        <f>SUMIF('cost benchmark'!$A$13:$A$107,A46,'cost benchmark'!$P$13:$P$107)</f>
        <v>0</v>
      </c>
      <c r="D46" s="12">
        <f t="shared" si="0"/>
        <v>0</v>
      </c>
      <c r="E46" s="14">
        <f t="shared" si="1"/>
        <v>0</v>
      </c>
    </row>
    <row r="47" spans="1:5" ht="12.75">
      <c r="A47" t="s">
        <v>98</v>
      </c>
      <c r="B47" s="12">
        <f>SUMIF('cost benchmark'!$A$13:$A$107,A47,'cost benchmark'!$D$13:$D$107)</f>
        <v>2703094</v>
      </c>
      <c r="C47" s="12">
        <f>SUMIF('cost benchmark'!$A$13:$A$107,A47,'cost benchmark'!$P$13:$P$107)</f>
        <v>0</v>
      </c>
      <c r="D47" s="12">
        <f t="shared" si="0"/>
        <v>0</v>
      </c>
      <c r="E47" s="14">
        <f t="shared" si="1"/>
        <v>0</v>
      </c>
    </row>
    <row r="48" spans="1:5" ht="12.75">
      <c r="A48" t="s">
        <v>101</v>
      </c>
      <c r="B48" s="12">
        <f>SUMIF('cost benchmark'!$A$13:$A$107,A48,'cost benchmark'!$D$13:$D$107)</f>
        <v>10443757</v>
      </c>
      <c r="C48" s="12">
        <f>SUMIF('cost benchmark'!$A$13:$A$107,A48,'cost benchmark'!$P$13:$P$107)</f>
        <v>0</v>
      </c>
      <c r="D48" s="12">
        <f t="shared" si="0"/>
        <v>0</v>
      </c>
      <c r="E48" s="14">
        <f t="shared" si="1"/>
        <v>0</v>
      </c>
    </row>
    <row r="49" spans="1:5" ht="12.75">
      <c r="A49" t="s">
        <v>104</v>
      </c>
      <c r="B49" s="12">
        <f>SUMIF('cost benchmark'!$A$13:$A$107,A49,'cost benchmark'!$D$13:$D$107)</f>
        <v>981536</v>
      </c>
      <c r="C49" s="12">
        <f>SUMIF('cost benchmark'!$A$13:$A$107,A49,'cost benchmark'!$P$13:$P$107)</f>
        <v>0</v>
      </c>
      <c r="D49" s="12">
        <f t="shared" si="0"/>
        <v>0</v>
      </c>
      <c r="E49" s="14">
        <f t="shared" si="1"/>
        <v>0</v>
      </c>
    </row>
    <row r="50" spans="1:5" ht="12.75">
      <c r="A50" t="s">
        <v>106</v>
      </c>
      <c r="B50" s="12">
        <f>SUMIF('cost benchmark'!$A$13:$A$107,A50,'cost benchmark'!$D$13:$D$107)</f>
        <v>4021897</v>
      </c>
      <c r="C50" s="12">
        <f>SUMIF('cost benchmark'!$A$13:$A$107,A50,'cost benchmark'!$P$13:$P$107)</f>
        <v>0</v>
      </c>
      <c r="D50" s="12">
        <f t="shared" si="0"/>
        <v>0</v>
      </c>
      <c r="E50" s="14">
        <f t="shared" si="1"/>
        <v>0</v>
      </c>
    </row>
    <row r="51" spans="1:5" ht="12.75">
      <c r="A51" t="s">
        <v>110</v>
      </c>
      <c r="B51" s="12">
        <f>SUMIF('cost benchmark'!$A$13:$A$107,A51,'cost benchmark'!$D$13:$D$107)</f>
        <v>313359</v>
      </c>
      <c r="C51" s="12">
        <f>SUMIF('cost benchmark'!$A$13:$A$107,A51,'cost benchmark'!$P$13:$P$107)</f>
        <v>0</v>
      </c>
      <c r="D51" s="12">
        <f t="shared" si="0"/>
        <v>0</v>
      </c>
      <c r="E51" s="14">
        <f t="shared" si="1"/>
        <v>0</v>
      </c>
    </row>
    <row r="52" spans="1:5" ht="12.75">
      <c r="A52" t="s">
        <v>112</v>
      </c>
      <c r="B52" s="12">
        <f>SUMIF('cost benchmark'!$A$13:$A$107,A52,'cost benchmark'!$D$13:$D$107)</f>
        <v>2928344</v>
      </c>
      <c r="C52" s="12">
        <f>SUMIF('cost benchmark'!$A$13:$A$107,A52,'cost benchmark'!$P$13:$P$107)</f>
        <v>0</v>
      </c>
      <c r="D52" s="12">
        <f t="shared" si="0"/>
        <v>0</v>
      </c>
      <c r="E52" s="14">
        <f t="shared" si="1"/>
        <v>0</v>
      </c>
    </row>
    <row r="53" spans="1:5" ht="12.75">
      <c r="A53" t="s">
        <v>114</v>
      </c>
      <c r="B53" s="12">
        <f>SUMIF('cost benchmark'!$A$13:$A$107,A53,'cost benchmark'!$D$13:$D$107)</f>
        <v>2461877</v>
      </c>
      <c r="C53" s="12">
        <f>SUMIF('cost benchmark'!$A$13:$A$107,A53,'cost benchmark'!$P$13:$P$107)</f>
        <v>0</v>
      </c>
      <c r="D53" s="12">
        <f t="shared" si="0"/>
        <v>0</v>
      </c>
      <c r="E53" s="14">
        <f t="shared" si="1"/>
        <v>0</v>
      </c>
    </row>
    <row r="54" spans="1:5" ht="12.75">
      <c r="A54" t="s">
        <v>116</v>
      </c>
      <c r="B54" s="12">
        <f>SUMIF('cost benchmark'!$A$13:$A$107,A54,'cost benchmark'!$D$13:$D$107)</f>
        <v>773859</v>
      </c>
      <c r="C54" s="12">
        <f>SUMIF('cost benchmark'!$A$13:$A$107,A54,'cost benchmark'!$P$13:$P$107)</f>
        <v>0</v>
      </c>
      <c r="D54" s="12">
        <f t="shared" si="0"/>
        <v>0</v>
      </c>
      <c r="E54" s="14">
        <f t="shared" si="1"/>
        <v>0</v>
      </c>
    </row>
    <row r="55" spans="1:5" ht="12.75">
      <c r="A55" t="s">
        <v>118</v>
      </c>
      <c r="B55" s="12">
        <f>SUMIF('cost benchmark'!$A$13:$A$107,A55,'cost benchmark'!$D$13:$D$107)</f>
        <v>225950</v>
      </c>
      <c r="C55" s="12">
        <f>SUMIF('cost benchmark'!$A$13:$A$107,A55,'cost benchmark'!$P$13:$P$107)</f>
        <v>0</v>
      </c>
      <c r="D55" s="12">
        <f t="shared" si="0"/>
        <v>0</v>
      </c>
      <c r="E55" s="14">
        <f t="shared" si="1"/>
        <v>0</v>
      </c>
    </row>
    <row r="56" spans="1:5" ht="12.75">
      <c r="A56" t="s">
        <v>121</v>
      </c>
      <c r="B56" s="12">
        <f>SUM(B6:B55)</f>
        <v>149084110</v>
      </c>
      <c r="C56" s="14">
        <f>SUM(C6:C55)</f>
        <v>0</v>
      </c>
      <c r="D56" s="14">
        <f>SUM(D6:D55)</f>
        <v>0</v>
      </c>
      <c r="E56" s="14">
        <f>SUM(E6:E55)</f>
        <v>0</v>
      </c>
    </row>
  </sheetData>
  <printOptions gridLines="1" headings="1" horizontalCentered="1" verticalCentered="1"/>
  <pageMargins left="0.75" right="0.75" top="1" bottom="1" header="0.5" footer="0.5"/>
  <pageSetup horizontalDpi="600" verticalDpi="600" orientation="portrait" r:id="rId1"/>
  <headerFooter alignWithMargins="0">
    <oddHeader>&amp;C&amp;"Arial,Bold"&amp;12State Per Line Responsibility Worksheet</oddHeader>
    <oddFooter>&amp;L&amp;D &amp;T&amp;CPage &amp;P of &amp;N&amp;R&amp;F</oddFooter>
  </headerFooter>
</worksheet>
</file>

<file path=xl/worksheets/sheet3.xml><?xml version="1.0" encoding="utf-8"?>
<worksheet xmlns="http://schemas.openxmlformats.org/spreadsheetml/2006/main" xmlns:r="http://schemas.openxmlformats.org/officeDocument/2006/relationships">
  <dimension ref="A1:K55"/>
  <sheetViews>
    <sheetView workbookViewId="0" topLeftCell="A1">
      <selection activeCell="J55" sqref="J55"/>
    </sheetView>
  </sheetViews>
  <sheetFormatPr defaultColWidth="9.140625" defaultRowHeight="12.75"/>
  <cols>
    <col min="2" max="2" width="14.8515625" style="0" bestFit="1" customWidth="1"/>
    <col min="3" max="3" width="12.8515625" style="0" bestFit="1" customWidth="1"/>
    <col min="4" max="4" width="14.57421875" style="0" customWidth="1"/>
    <col min="5" max="5" width="13.28125" style="0" customWidth="1"/>
    <col min="6" max="7" width="15.28125" style="0" customWidth="1"/>
    <col min="8" max="8" width="14.421875" style="0" customWidth="1"/>
    <col min="9" max="9" width="16.00390625" style="0" customWidth="1"/>
    <col min="10" max="10" width="11.8515625" style="0" customWidth="1"/>
    <col min="11" max="11" width="12.140625" style="0" customWidth="1"/>
  </cols>
  <sheetData>
    <row r="1" spans="1:11" s="18" customFormat="1" ht="51">
      <c r="A1" s="32" t="s">
        <v>4</v>
      </c>
      <c r="B1" s="21" t="s">
        <v>169</v>
      </c>
      <c r="C1" s="21" t="s">
        <v>170</v>
      </c>
      <c r="D1" s="23" t="s">
        <v>133</v>
      </c>
      <c r="E1" s="23" t="s">
        <v>5</v>
      </c>
      <c r="F1" s="23" t="s">
        <v>171</v>
      </c>
      <c r="G1" s="21" t="s">
        <v>175</v>
      </c>
      <c r="H1" s="21" t="s">
        <v>172</v>
      </c>
      <c r="I1" s="21" t="s">
        <v>176</v>
      </c>
      <c r="J1" s="21" t="s">
        <v>173</v>
      </c>
      <c r="K1" s="21" t="s">
        <v>174</v>
      </c>
    </row>
    <row r="2" spans="1:11" ht="12.75">
      <c r="A2" s="33" t="s">
        <v>7</v>
      </c>
      <c r="B2" s="34">
        <f>SUMIF('cost benchmark'!$A$13:$A$103,A2,'cost benchmark'!$E$13:$E$103)/SUMIF('cost benchmark'!$A$13:$A$103,A2,'cost benchmark'!$D$13:$D$103)</f>
        <v>31.546740128315044</v>
      </c>
      <c r="C2" s="35">
        <f>SUMIF('cost benchmark'!$A$13:$A$103,A2,'cost benchmark'!$D$13:$D$103)</f>
        <v>2076140</v>
      </c>
      <c r="D2" s="36">
        <f>'per line'!E6</f>
        <v>0</v>
      </c>
      <c r="E2" s="35">
        <f>SUMIF('cost benchmark'!$A$13:$A$103,A2,'cost benchmark'!$F$13:$F$103)</f>
        <v>11458836</v>
      </c>
      <c r="F2" s="37">
        <f>IF(E2&gt;D2,E2-D2,0)</f>
        <v>11458836</v>
      </c>
      <c r="G2" s="38">
        <f>F2+D2</f>
        <v>11458836</v>
      </c>
      <c r="H2" s="26">
        <f>SUMIF('study area'!$A$4:$A$94,A2,'study area'!$G$4:$G$94)</f>
        <v>11458836</v>
      </c>
      <c r="I2" s="26">
        <f>SUMIF('study area'!$A$4:$A$94,A2,'study area'!$F$4:$F$94)</f>
        <v>11458836</v>
      </c>
      <c r="J2" s="19">
        <f>SUMIF('study area'!$A$4:$A$94,A2,'study area'!$I$4:$I$94)</f>
        <v>0</v>
      </c>
      <c r="K2" s="19">
        <f>SUMIF('study area'!$A$4:$A$94,A2,'study area'!$J$4:$J$94)</f>
        <v>0</v>
      </c>
    </row>
    <row r="3" spans="1:11" ht="12.75">
      <c r="A3" s="19" t="s">
        <v>9</v>
      </c>
      <c r="B3" s="34">
        <f>SUMIF('cost benchmark'!$A$13:$A$103,A3,'cost benchmark'!$E$13:$E$103)/SUMIF('cost benchmark'!$A$13:$A$103,A3,'cost benchmark'!$D$13:$D$103)</f>
        <v>26.95</v>
      </c>
      <c r="C3" s="35">
        <f>SUMIF('cost benchmark'!$A$13:$A$103,A3,'cost benchmark'!$D$13:$D$103)</f>
        <v>898814</v>
      </c>
      <c r="D3" s="36">
        <f>'per line'!E7</f>
        <v>0</v>
      </c>
      <c r="E3" s="35">
        <f>SUMIF('cost benchmark'!$A$13:$A$103,A3,'cost benchmark'!$F$13:$F$103)</f>
        <v>3984924</v>
      </c>
      <c r="F3" s="37">
        <f aca="true" t="shared" si="0" ref="F3:F54">IF(E3&gt;D3,E3-D3,0)</f>
        <v>3984924</v>
      </c>
      <c r="G3" s="38">
        <f aca="true" t="shared" si="1" ref="G3:G51">F3+D3</f>
        <v>3984924</v>
      </c>
      <c r="H3" s="26">
        <f>SUMIF('study area'!$A$4:$A$94,A3,'study area'!$G$4:$G$94)</f>
        <v>3984924</v>
      </c>
      <c r="I3" s="26">
        <f>SUMIF('study area'!$A$4:$A$94,A3,'study area'!$F$4:$F$94)</f>
        <v>3984924</v>
      </c>
      <c r="J3" s="19">
        <f>SUMIF('study area'!$A$4:$A$94,A3,'study area'!$I$4:$I$94)</f>
        <v>0</v>
      </c>
      <c r="K3" s="19">
        <f>SUMIF('study area'!$A$4:$A$94,A3,'study area'!$J$4:$J$94)</f>
        <v>0</v>
      </c>
    </row>
    <row r="4" spans="1:11" ht="12.75">
      <c r="A4" s="19" t="s">
        <v>11</v>
      </c>
      <c r="B4" s="34">
        <f>SUMIF('cost benchmark'!$A$13:$A$103,A4,'cost benchmark'!$E$13:$E$103)/SUMIF('cost benchmark'!$A$13:$A$103,A4,'cost benchmark'!$D$13:$D$103)</f>
        <v>17.94</v>
      </c>
      <c r="C4" s="35">
        <f>SUMIF('cost benchmark'!$A$13:$A$103,A4,'cost benchmark'!$D$13:$D$103)</f>
        <v>2389011</v>
      </c>
      <c r="D4" s="36">
        <f>'per line'!E8</f>
        <v>0</v>
      </c>
      <c r="E4" s="35">
        <f>SUMIF('cost benchmark'!$A$13:$A$103,A4,'cost benchmark'!$F$13:$F$103)</f>
        <v>2417928</v>
      </c>
      <c r="F4" s="37">
        <f t="shared" si="0"/>
        <v>2417928</v>
      </c>
      <c r="G4" s="38">
        <f t="shared" si="1"/>
        <v>2417928</v>
      </c>
      <c r="H4" s="26">
        <f>SUMIF('study area'!$A$4:$A$94,A4,'study area'!$G$4:$G$94)</f>
        <v>2417928</v>
      </c>
      <c r="I4" s="26">
        <f>SUMIF('study area'!$A$4:$A$94,A4,'study area'!$F$4:$F$94)</f>
        <v>2417928</v>
      </c>
      <c r="J4" s="19">
        <f>SUMIF('study area'!$A$4:$A$94,A4,'study area'!$I$4:$I$94)</f>
        <v>0</v>
      </c>
      <c r="K4" s="19">
        <f>SUMIF('study area'!$A$4:$A$94,A4,'study area'!$J$4:$J$94)</f>
        <v>0</v>
      </c>
    </row>
    <row r="5" spans="1:11" ht="12.75">
      <c r="A5" s="19" t="s">
        <v>13</v>
      </c>
      <c r="B5" s="34">
        <f>SUMIF('cost benchmark'!$A$13:$A$103,A5,'cost benchmark'!$E$13:$E$103)/SUMIF('cost benchmark'!$A$13:$A$103,A5,'cost benchmark'!$D$13:$D$103)</f>
        <v>15.972783095649946</v>
      </c>
      <c r="C5" s="35">
        <f>SUMIF('cost benchmark'!$A$13:$A$103,A5,'cost benchmark'!$D$13:$D$103)</f>
        <v>20236164</v>
      </c>
      <c r="D5" s="36">
        <f>'per line'!E9</f>
        <v>0</v>
      </c>
      <c r="E5" s="35">
        <f>SUMIF('cost benchmark'!$A$13:$A$103,A5,'cost benchmark'!$F$13:$F$103)</f>
        <v>6350628</v>
      </c>
      <c r="F5" s="37">
        <f t="shared" si="0"/>
        <v>6350628</v>
      </c>
      <c r="G5" s="38">
        <f t="shared" si="1"/>
        <v>6350628</v>
      </c>
      <c r="H5" s="26">
        <f>SUMIF('study area'!$A$4:$A$94,A5,'study area'!$G$4:$G$94)</f>
        <v>6350628</v>
      </c>
      <c r="I5" s="26">
        <f>SUMIF('study area'!$A$4:$A$94,A5,'study area'!$F$4:$F$94)</f>
        <v>6350628</v>
      </c>
      <c r="J5" s="19">
        <f>SUMIF('study area'!$A$4:$A$94,A5,'study area'!$I$4:$I$94)</f>
        <v>0</v>
      </c>
      <c r="K5" s="19">
        <f>SUMIF('study area'!$A$4:$A$94,A5,'study area'!$J$4:$J$94)</f>
        <v>0</v>
      </c>
    </row>
    <row r="6" spans="1:11" ht="12.75">
      <c r="A6" s="19" t="s">
        <v>17</v>
      </c>
      <c r="B6" s="34">
        <f>SUMIF('cost benchmark'!$A$13:$A$103,A6,'cost benchmark'!$E$13:$E$103)/SUMIF('cost benchmark'!$A$13:$A$103,A6,'cost benchmark'!$D$13:$D$103)</f>
        <v>20.4</v>
      </c>
      <c r="C6" s="35">
        <f>SUMIF('cost benchmark'!$A$13:$A$103,A6,'cost benchmark'!$D$13:$D$103)</f>
        <v>2384889</v>
      </c>
      <c r="D6" s="36">
        <f>'per line'!E10</f>
        <v>0</v>
      </c>
      <c r="E6" s="35">
        <f>SUMIF('cost benchmark'!$A$13:$A$103,A6,'cost benchmark'!$F$13:$F$103)</f>
        <v>2505660</v>
      </c>
      <c r="F6" s="37">
        <f t="shared" si="0"/>
        <v>2505660</v>
      </c>
      <c r="G6" s="38">
        <f t="shared" si="1"/>
        <v>2505660</v>
      </c>
      <c r="H6" s="26">
        <f>SUMIF('study area'!$A$4:$A$94,A6,'study area'!$G$4:$G$94)</f>
        <v>2505660</v>
      </c>
      <c r="I6" s="26">
        <f>SUMIF('study area'!$A$4:$A$94,A6,'study area'!$F$4:$F$94)</f>
        <v>2505660</v>
      </c>
      <c r="J6" s="19">
        <f>SUMIF('study area'!$A$4:$A$94,A6,'study area'!$I$4:$I$94)</f>
        <v>0</v>
      </c>
      <c r="K6" s="19">
        <f>SUMIF('study area'!$A$4:$A$94,A6,'study area'!$J$4:$J$94)</f>
        <v>0</v>
      </c>
    </row>
    <row r="7" spans="1:11" ht="12.75">
      <c r="A7" s="19" t="s">
        <v>19</v>
      </c>
      <c r="B7" s="34">
        <f>SUMIF('cost benchmark'!$A$13:$A$103,A7,'cost benchmark'!$E$13:$E$103)/SUMIF('cost benchmark'!$A$13:$A$103,A7,'cost benchmark'!$D$13:$D$103)</f>
        <v>18.97</v>
      </c>
      <c r="C7" s="35">
        <f>SUMIF('cost benchmark'!$A$13:$A$103,A7,'cost benchmark'!$D$13:$D$103)</f>
        <v>2099704</v>
      </c>
      <c r="D7" s="36">
        <f>'per line'!E11</f>
        <v>0</v>
      </c>
      <c r="E7" s="35">
        <f>SUMIF('cost benchmark'!$A$13:$A$103,A7,'cost benchmark'!$F$13:$F$103)</f>
        <v>0</v>
      </c>
      <c r="F7" s="37">
        <f t="shared" si="0"/>
        <v>0</v>
      </c>
      <c r="G7" s="38">
        <f t="shared" si="1"/>
        <v>0</v>
      </c>
      <c r="H7" s="26">
        <f>SUMIF('study area'!$A$4:$A$94,A7,'study area'!$G$4:$G$94)</f>
        <v>0</v>
      </c>
      <c r="I7" s="26">
        <f>SUMIF('study area'!$A$4:$A$94,A7,'study area'!$F$4:$F$94)</f>
        <v>0</v>
      </c>
      <c r="J7" s="19">
        <f>SUMIF('study area'!$A$4:$A$94,A7,'study area'!$I$4:$I$94)</f>
        <v>0</v>
      </c>
      <c r="K7" s="19">
        <f>SUMIF('study area'!$A$4:$A$94,A7,'study area'!$J$4:$J$94)</f>
        <v>0</v>
      </c>
    </row>
    <row r="8" spans="1:11" ht="12.75">
      <c r="A8" s="19" t="s">
        <v>21</v>
      </c>
      <c r="B8" s="34">
        <f>SUMIF('cost benchmark'!$A$13:$A$103,A8,'cost benchmark'!$E$13:$E$103)/SUMIF('cost benchmark'!$A$13:$A$103,A8,'cost benchmark'!$D$13:$D$103)</f>
        <v>11.65</v>
      </c>
      <c r="C8" s="35">
        <f>SUMIF('cost benchmark'!$A$13:$A$103,A8,'cost benchmark'!$D$13:$D$103)</f>
        <v>923018</v>
      </c>
      <c r="D8" s="36">
        <f>'per line'!E12</f>
        <v>0</v>
      </c>
      <c r="E8" s="35">
        <f>SUMIF('cost benchmark'!$A$13:$A$103,A8,'cost benchmark'!$F$13:$F$103)</f>
        <v>0</v>
      </c>
      <c r="F8" s="37">
        <f t="shared" si="0"/>
        <v>0</v>
      </c>
      <c r="G8" s="38">
        <f t="shared" si="1"/>
        <v>0</v>
      </c>
      <c r="H8" s="26">
        <f>SUMIF('study area'!$A$4:$A$94,A8,'study area'!$G$4:$G$94)</f>
        <v>0</v>
      </c>
      <c r="I8" s="26">
        <f>SUMIF('study area'!$A$4:$A$94,A8,'study area'!$F$4:$F$94)</f>
        <v>0</v>
      </c>
      <c r="J8" s="19">
        <f>SUMIF('study area'!$A$4:$A$94,A8,'study area'!$I$4:$I$94)</f>
        <v>0</v>
      </c>
      <c r="K8" s="19">
        <f>SUMIF('study area'!$A$4:$A$94,A8,'study area'!$J$4:$J$94)</f>
        <v>0</v>
      </c>
    </row>
    <row r="9" spans="1:11" ht="12.75">
      <c r="A9" s="19" t="s">
        <v>22</v>
      </c>
      <c r="B9" s="34">
        <f>SUMIF('cost benchmark'!$A$13:$A$103,A9,'cost benchmark'!$E$13:$E$103)/SUMIF('cost benchmark'!$A$13:$A$103,A9,'cost benchmark'!$D$13:$D$103)</f>
        <v>18.96</v>
      </c>
      <c r="C9" s="35">
        <f>SUMIF('cost benchmark'!$A$13:$A$103,A9,'cost benchmark'!$D$13:$D$103)</f>
        <v>500823</v>
      </c>
      <c r="D9" s="36">
        <f>'per line'!E13</f>
        <v>0</v>
      </c>
      <c r="E9" s="35">
        <f>SUMIF('cost benchmark'!$A$13:$A$103,A9,'cost benchmark'!$F$13:$F$103)</f>
        <v>0</v>
      </c>
      <c r="F9" s="37">
        <f t="shared" si="0"/>
        <v>0</v>
      </c>
      <c r="G9" s="38">
        <f t="shared" si="1"/>
        <v>0</v>
      </c>
      <c r="H9" s="26">
        <f>SUMIF('study area'!$A$4:$A$94,A9,'study area'!$G$4:$G$94)</f>
        <v>0</v>
      </c>
      <c r="I9" s="26">
        <f>SUMIF('study area'!$A$4:$A$94,A9,'study area'!$F$4:$F$94)</f>
        <v>0</v>
      </c>
      <c r="J9" s="19">
        <f>SUMIF('study area'!$A$4:$A$94,A9,'study area'!$I$4:$I$94)</f>
        <v>0</v>
      </c>
      <c r="K9" s="19">
        <f>SUMIF('study area'!$A$4:$A$94,A9,'study area'!$J$4:$J$94)</f>
        <v>0</v>
      </c>
    </row>
    <row r="10" spans="1:11" ht="12.75">
      <c r="A10" s="19" t="s">
        <v>24</v>
      </c>
      <c r="B10" s="34">
        <f>SUMIF('cost benchmark'!$A$13:$A$103,A10,'cost benchmark'!$E$13:$E$103)/SUMIF('cost benchmark'!$A$13:$A$103,A10,'cost benchmark'!$D$13:$D$103)</f>
        <v>17.98403131358451</v>
      </c>
      <c r="C10" s="35">
        <f>SUMIF('cost benchmark'!$A$13:$A$103,A10,'cost benchmark'!$D$13:$D$103)</f>
        <v>9664304</v>
      </c>
      <c r="D10" s="36">
        <f>'per line'!E14</f>
        <v>0</v>
      </c>
      <c r="E10" s="35">
        <f>SUMIF('cost benchmark'!$A$13:$A$103,A10,'cost benchmark'!$F$13:$F$103)</f>
        <v>0</v>
      </c>
      <c r="F10" s="37">
        <f t="shared" si="0"/>
        <v>0</v>
      </c>
      <c r="G10" s="38">
        <f t="shared" si="1"/>
        <v>0</v>
      </c>
      <c r="H10" s="26">
        <f>SUMIF('study area'!$A$4:$A$94,A10,'study area'!$G$4:$G$94)</f>
        <v>0</v>
      </c>
      <c r="I10" s="26">
        <f>SUMIF('study area'!$A$4:$A$94,A10,'study area'!$F$4:$F$94)</f>
        <v>0</v>
      </c>
      <c r="J10" s="19">
        <f>SUMIF('study area'!$A$4:$A$94,A10,'study area'!$I$4:$I$94)</f>
        <v>0</v>
      </c>
      <c r="K10" s="19">
        <f>SUMIF('study area'!$A$4:$A$94,A10,'study area'!$J$4:$J$94)</f>
        <v>0</v>
      </c>
    </row>
    <row r="11" spans="1:11" ht="12.75">
      <c r="A11" s="19" t="s">
        <v>26</v>
      </c>
      <c r="B11" s="34">
        <f>SUMIF('cost benchmark'!$A$13:$A$103,A11,'cost benchmark'!$E$13:$E$103)/SUMIF('cost benchmark'!$A$13:$A$103,A11,'cost benchmark'!$D$13:$D$103)</f>
        <v>21.36</v>
      </c>
      <c r="C11" s="35">
        <f>SUMIF('cost benchmark'!$A$13:$A$103,A11,'cost benchmark'!$D$13:$D$103)</f>
        <v>3598169</v>
      </c>
      <c r="D11" s="36">
        <f>'per line'!E15</f>
        <v>0</v>
      </c>
      <c r="E11" s="35">
        <f>SUMIF('cost benchmark'!$A$13:$A$103,A11,'cost benchmark'!$F$13:$F$103)</f>
        <v>2980956</v>
      </c>
      <c r="F11" s="37">
        <f t="shared" si="0"/>
        <v>2980956</v>
      </c>
      <c r="G11" s="38">
        <f t="shared" si="1"/>
        <v>2980956</v>
      </c>
      <c r="H11" s="26">
        <f>SUMIF('study area'!$A$4:$A$94,A11,'study area'!$G$4:$G$94)</f>
        <v>2980956</v>
      </c>
      <c r="I11" s="26">
        <f>SUMIF('study area'!$A$4:$A$94,A11,'study area'!$F$4:$F$94)</f>
        <v>2980956</v>
      </c>
      <c r="J11" s="19">
        <f>SUMIF('study area'!$A$4:$A$94,A11,'study area'!$I$4:$I$94)</f>
        <v>0</v>
      </c>
      <c r="K11" s="19">
        <f>SUMIF('study area'!$A$4:$A$94,A11,'study area'!$J$4:$J$94)</f>
        <v>0</v>
      </c>
    </row>
    <row r="12" spans="1:11" ht="12.75">
      <c r="A12" s="19" t="s">
        <v>28</v>
      </c>
      <c r="B12" s="34">
        <f>SUMIF('cost benchmark'!$A$13:$A$103,A12,'cost benchmark'!$E$13:$E$103)/SUMIF('cost benchmark'!$A$13:$A$103,A12,'cost benchmark'!$D$13:$D$103)</f>
        <v>16.23</v>
      </c>
      <c r="C12" s="35">
        <f>SUMIF('cost benchmark'!$A$13:$A$103,A12,'cost benchmark'!$D$13:$D$103)</f>
        <v>613082</v>
      </c>
      <c r="D12" s="36">
        <f>'per line'!E16</f>
        <v>0</v>
      </c>
      <c r="E12" s="35">
        <f>SUMIF('cost benchmark'!$A$13:$A$103,A12,'cost benchmark'!$F$13:$F$103)</f>
        <v>0</v>
      </c>
      <c r="F12" s="37">
        <f t="shared" si="0"/>
        <v>0</v>
      </c>
      <c r="G12" s="38">
        <f t="shared" si="1"/>
        <v>0</v>
      </c>
      <c r="H12" s="26">
        <f>SUMIF('study area'!$A$4:$A$94,A12,'study area'!$G$4:$G$94)</f>
        <v>0</v>
      </c>
      <c r="I12" s="26">
        <f>SUMIF('study area'!$A$4:$A$94,A12,'study area'!$F$4:$F$94)</f>
        <v>0</v>
      </c>
      <c r="J12" s="19">
        <f>SUMIF('study area'!$A$4:$A$94,A12,'study area'!$I$4:$I$94)</f>
        <v>0</v>
      </c>
      <c r="K12" s="19">
        <f>SUMIF('study area'!$A$4:$A$94,A12,'study area'!$J$4:$J$94)</f>
        <v>0</v>
      </c>
    </row>
    <row r="13" spans="1:11" ht="12.75">
      <c r="A13" s="33" t="s">
        <v>29</v>
      </c>
      <c r="B13" s="34">
        <f>SUMIF('cost benchmark'!$A$13:$A$103,A13,'cost benchmark'!$E$13:$E$103)/SUMIF('cost benchmark'!$A$13:$A$103,A13,'cost benchmark'!$D$13:$D$103)</f>
        <v>21.04</v>
      </c>
      <c r="C13" s="35">
        <f>SUMIF('cost benchmark'!$A$13:$A$103,A13,'cost benchmark'!$D$13:$D$103)</f>
        <v>1055858</v>
      </c>
      <c r="D13" s="36">
        <f>'per line'!E17</f>
        <v>0</v>
      </c>
      <c r="E13" s="35">
        <f>SUMIF('cost benchmark'!$A$13:$A$103,A13,'cost benchmark'!$F$13:$F$103)</f>
        <v>0</v>
      </c>
      <c r="F13" s="37">
        <f t="shared" si="0"/>
        <v>0</v>
      </c>
      <c r="G13" s="38">
        <f t="shared" si="1"/>
        <v>0</v>
      </c>
      <c r="H13" s="26">
        <f>SUMIF('study area'!$A$4:$A$94,A13,'study area'!$G$4:$G$94)</f>
        <v>0</v>
      </c>
      <c r="I13" s="26">
        <f>SUMIF('study area'!$A$4:$A$94,A13,'study area'!$F$4:$F$94)</f>
        <v>0</v>
      </c>
      <c r="J13" s="19">
        <f>SUMIF('study area'!$A$4:$A$94,A13,'study area'!$I$4:$I$94)</f>
        <v>0</v>
      </c>
      <c r="K13" s="19">
        <f>SUMIF('study area'!$A$4:$A$94,A13,'study area'!$J$4:$J$94)</f>
        <v>0</v>
      </c>
    </row>
    <row r="14" spans="1:11" ht="12.75">
      <c r="A14" s="19" t="s">
        <v>31</v>
      </c>
      <c r="B14" s="34">
        <f>SUMIF('cost benchmark'!$A$13:$A$103,A14,'cost benchmark'!$E$13:$E$103)/SUMIF('cost benchmark'!$A$13:$A$103,A14,'cost benchmark'!$D$13:$D$103)</f>
        <v>25.25</v>
      </c>
      <c r="C14" s="35">
        <f>SUMIF('cost benchmark'!$A$13:$A$103,A14,'cost benchmark'!$D$13:$D$103)</f>
        <v>472339</v>
      </c>
      <c r="D14" s="36">
        <f>'per line'!E18</f>
        <v>0</v>
      </c>
      <c r="E14" s="35">
        <f>SUMIF('cost benchmark'!$A$13:$A$103,A14,'cost benchmark'!$F$13:$F$103)</f>
        <v>0</v>
      </c>
      <c r="F14" s="37">
        <f t="shared" si="0"/>
        <v>0</v>
      </c>
      <c r="G14" s="38">
        <f t="shared" si="1"/>
        <v>0</v>
      </c>
      <c r="H14" s="26">
        <f>SUMIF('study area'!$A$4:$A$94,A14,'study area'!$G$4:$G$94)</f>
        <v>0</v>
      </c>
      <c r="I14" s="26">
        <f>SUMIF('study area'!$A$4:$A$94,A14,'study area'!$F$4:$F$94)</f>
        <v>0</v>
      </c>
      <c r="J14" s="19">
        <f>SUMIF('study area'!$A$4:$A$94,A14,'study area'!$I$4:$I$94)</f>
        <v>0</v>
      </c>
      <c r="K14" s="19">
        <f>SUMIF('study area'!$A$4:$A$94,A14,'study area'!$J$4:$J$94)</f>
        <v>0</v>
      </c>
    </row>
    <row r="15" spans="1:11" ht="12.75">
      <c r="A15" s="19" t="s">
        <v>33</v>
      </c>
      <c r="B15" s="34">
        <f>SUMIF('cost benchmark'!$A$13:$A$103,A15,'cost benchmark'!$E$13:$E$103)/SUMIF('cost benchmark'!$A$13:$A$103,A15,'cost benchmark'!$D$13:$D$103)</f>
        <v>18.235853097033992</v>
      </c>
      <c r="C15" s="35">
        <f>SUMIF('cost benchmark'!$A$13:$A$103,A15,'cost benchmark'!$D$13:$D$103)</f>
        <v>7070749</v>
      </c>
      <c r="D15" s="36">
        <f>'per line'!E19</f>
        <v>0</v>
      </c>
      <c r="E15" s="35">
        <f>SUMIF('cost benchmark'!$A$13:$A$103,A15,'cost benchmark'!$F$13:$F$103)</f>
        <v>0</v>
      </c>
      <c r="F15" s="37">
        <f t="shared" si="0"/>
        <v>0</v>
      </c>
      <c r="G15" s="38">
        <f t="shared" si="1"/>
        <v>0</v>
      </c>
      <c r="H15" s="26">
        <f>SUMIF('study area'!$A$4:$A$94,A15,'study area'!$G$4:$G$94)</f>
        <v>0</v>
      </c>
      <c r="I15" s="26">
        <f>SUMIF('study area'!$A$4:$A$94,A15,'study area'!$F$4:$F$94)</f>
        <v>0</v>
      </c>
      <c r="J15" s="19">
        <f>SUMIF('study area'!$A$4:$A$94,A15,'study area'!$I$4:$I$94)</f>
        <v>0</v>
      </c>
      <c r="K15" s="19">
        <f>SUMIF('study area'!$A$4:$A$94,A15,'study area'!$J$4:$J$94)</f>
        <v>0</v>
      </c>
    </row>
    <row r="16" spans="1:11" ht="12.75">
      <c r="A16" s="19" t="s">
        <v>35</v>
      </c>
      <c r="B16" s="34">
        <f>SUMIF('cost benchmark'!$A$13:$A$103,A16,'cost benchmark'!$E$13:$E$103)/SUMIF('cost benchmark'!$A$13:$A$103,A16,'cost benchmark'!$D$13:$D$103)</f>
        <v>23.610023782164184</v>
      </c>
      <c r="C16" s="35">
        <f>SUMIF('cost benchmark'!$A$13:$A$103,A16,'cost benchmark'!$D$13:$D$103)</f>
        <v>2724731</v>
      </c>
      <c r="D16" s="36">
        <f>'per line'!E20</f>
        <v>0</v>
      </c>
      <c r="E16" s="35">
        <f>SUMIF('cost benchmark'!$A$13:$A$103,A16,'cost benchmark'!$F$13:$F$103)</f>
        <v>0</v>
      </c>
      <c r="F16" s="37">
        <f t="shared" si="0"/>
        <v>0</v>
      </c>
      <c r="G16" s="38">
        <f t="shared" si="1"/>
        <v>0</v>
      </c>
      <c r="H16" s="26">
        <f>SUMIF('study area'!$A$4:$A$94,A16,'study area'!$G$4:$G$94)</f>
        <v>0</v>
      </c>
      <c r="I16" s="26">
        <f>SUMIF('study area'!$A$4:$A$94,A16,'study area'!$F$4:$F$94)</f>
        <v>0</v>
      </c>
      <c r="J16" s="19">
        <f>SUMIF('study area'!$A$4:$A$94,A16,'study area'!$I$4:$I$94)</f>
        <v>0</v>
      </c>
      <c r="K16" s="19">
        <f>SUMIF('study area'!$A$4:$A$94,A16,'study area'!$J$4:$J$94)</f>
        <v>0</v>
      </c>
    </row>
    <row r="17" spans="1:11" ht="12.75">
      <c r="A17" s="19" t="s">
        <v>37</v>
      </c>
      <c r="B17" s="34">
        <f>SUMIF('cost benchmark'!$A$13:$A$103,A17,'cost benchmark'!$E$13:$E$103)/SUMIF('cost benchmark'!$A$13:$A$103,A17,'cost benchmark'!$D$13:$D$103)</f>
        <v>22.86</v>
      </c>
      <c r="C17" s="35">
        <f>SUMIF('cost benchmark'!$A$13:$A$103,A17,'cost benchmark'!$D$13:$D$103)</f>
        <v>1239765</v>
      </c>
      <c r="D17" s="36">
        <f>'per line'!E21</f>
        <v>0</v>
      </c>
      <c r="E17" s="35">
        <f>SUMIF('cost benchmark'!$A$13:$A$103,A17,'cost benchmark'!$F$13:$F$103)</f>
        <v>0</v>
      </c>
      <c r="F17" s="37">
        <f t="shared" si="0"/>
        <v>0</v>
      </c>
      <c r="G17" s="38">
        <f t="shared" si="1"/>
        <v>0</v>
      </c>
      <c r="H17" s="26">
        <f>SUMIF('study area'!$A$4:$A$94,A17,'study area'!$G$4:$G$94)</f>
        <v>0</v>
      </c>
      <c r="I17" s="26">
        <f>SUMIF('study area'!$A$4:$A$94,A17,'study area'!$F$4:$F$94)</f>
        <v>0</v>
      </c>
      <c r="J17" s="19">
        <f>SUMIF('study area'!$A$4:$A$94,A17,'study area'!$I$4:$I$94)</f>
        <v>0</v>
      </c>
      <c r="K17" s="19">
        <f>SUMIF('study area'!$A$4:$A$94,A17,'study area'!$J$4:$J$94)</f>
        <v>0</v>
      </c>
    </row>
    <row r="18" spans="1:11" ht="12.75">
      <c r="A18" s="19" t="s">
        <v>39</v>
      </c>
      <c r="B18" s="34">
        <f>SUMIF('cost benchmark'!$A$13:$A$103,A18,'cost benchmark'!$E$13:$E$103)/SUMIF('cost benchmark'!$A$13:$A$103,A18,'cost benchmark'!$D$13:$D$103)</f>
        <v>29.365183392806163</v>
      </c>
      <c r="C18" s="35">
        <f>SUMIF('cost benchmark'!$A$13:$A$103,A18,'cost benchmark'!$D$13:$D$103)</f>
        <v>1719833</v>
      </c>
      <c r="D18" s="36">
        <f>'per line'!E22</f>
        <v>0</v>
      </c>
      <c r="E18" s="35">
        <f>SUMIF('cost benchmark'!$A$13:$A$103,A18,'cost benchmark'!$F$13:$F$103)</f>
        <v>1531656</v>
      </c>
      <c r="F18" s="37">
        <f t="shared" si="0"/>
        <v>1531656</v>
      </c>
      <c r="G18" s="38">
        <f t="shared" si="1"/>
        <v>1531656</v>
      </c>
      <c r="H18" s="26">
        <f>SUMIF('study area'!$A$4:$A$94,A18,'study area'!$G$4:$G$94)</f>
        <v>1531656</v>
      </c>
      <c r="I18" s="26">
        <f>SUMIF('study area'!$A$4:$A$94,A18,'study area'!$F$4:$F$94)</f>
        <v>1531656</v>
      </c>
      <c r="J18" s="19">
        <f>SUMIF('study area'!$A$4:$A$94,A18,'study area'!$I$4:$I$94)</f>
        <v>0</v>
      </c>
      <c r="K18" s="19">
        <f>SUMIF('study area'!$A$4:$A$94,A18,'study area'!$J$4:$J$94)</f>
        <v>0</v>
      </c>
    </row>
    <row r="19" spans="1:11" ht="12.75">
      <c r="A19" s="19" t="s">
        <v>42</v>
      </c>
      <c r="B19" s="34">
        <f>SUMIF('cost benchmark'!$A$13:$A$103,A19,'cost benchmark'!$E$13:$E$103)/SUMIF('cost benchmark'!$A$13:$A$103,A19,'cost benchmark'!$D$13:$D$103)</f>
        <v>24.11</v>
      </c>
      <c r="C19" s="35">
        <f>SUMIF('cost benchmark'!$A$13:$A$103,A19,'cost benchmark'!$D$13:$D$103)</f>
        <v>2130620</v>
      </c>
      <c r="D19" s="36">
        <f>'per line'!E23</f>
        <v>0</v>
      </c>
      <c r="E19" s="35">
        <f>SUMIF('cost benchmark'!$A$13:$A$103,A19,'cost benchmark'!$F$13:$F$103)</f>
        <v>0</v>
      </c>
      <c r="F19" s="37">
        <f t="shared" si="0"/>
        <v>0</v>
      </c>
      <c r="G19" s="38">
        <f t="shared" si="1"/>
        <v>0</v>
      </c>
      <c r="H19" s="26">
        <f>SUMIF('study area'!$A$4:$A$94,A19,'study area'!$G$4:$G$94)</f>
        <v>0</v>
      </c>
      <c r="I19" s="26">
        <f>SUMIF('study area'!$A$4:$A$94,A19,'study area'!$F$4:$F$94)</f>
        <v>0</v>
      </c>
      <c r="J19" s="19">
        <f>SUMIF('study area'!$A$4:$A$94,A19,'study area'!$I$4:$I$94)</f>
        <v>0</v>
      </c>
      <c r="K19" s="19">
        <f>SUMIF('study area'!$A$4:$A$94,A19,'study area'!$J$4:$J$94)</f>
        <v>0</v>
      </c>
    </row>
    <row r="20" spans="1:11" ht="12.75">
      <c r="A20" s="19" t="s">
        <v>44</v>
      </c>
      <c r="B20" s="34">
        <f>SUMIF('cost benchmark'!$A$13:$A$103,A20,'cost benchmark'!$E$13:$E$103)/SUMIF('cost benchmark'!$A$13:$A$103,A20,'cost benchmark'!$D$13:$D$103)</f>
        <v>16.23</v>
      </c>
      <c r="C20" s="35">
        <f>SUMIF('cost benchmark'!$A$13:$A$103,A20,'cost benchmark'!$D$13:$D$103)</f>
        <v>4109503</v>
      </c>
      <c r="D20" s="36">
        <f>'per line'!E24</f>
        <v>0</v>
      </c>
      <c r="E20" s="35">
        <f>SUMIF('cost benchmark'!$A$13:$A$103,A20,'cost benchmark'!$F$13:$F$103)</f>
        <v>0</v>
      </c>
      <c r="F20" s="37">
        <f t="shared" si="0"/>
        <v>0</v>
      </c>
      <c r="G20" s="38">
        <f t="shared" si="1"/>
        <v>0</v>
      </c>
      <c r="H20" s="26">
        <f>SUMIF('study area'!$A$4:$A$94,A20,'study area'!$G$4:$G$94)</f>
        <v>0</v>
      </c>
      <c r="I20" s="26">
        <f>SUMIF('study area'!$A$4:$A$94,A20,'study area'!$F$4:$F$94)</f>
        <v>0</v>
      </c>
      <c r="J20" s="19">
        <f>SUMIF('study area'!$A$4:$A$94,A20,'study area'!$I$4:$I$94)</f>
        <v>0</v>
      </c>
      <c r="K20" s="19">
        <f>SUMIF('study area'!$A$4:$A$94,A20,'study area'!$J$4:$J$94)</f>
        <v>0</v>
      </c>
    </row>
    <row r="21" spans="1:11" ht="12.75">
      <c r="A21" s="19" t="s">
        <v>46</v>
      </c>
      <c r="B21" s="34">
        <f>SUMIF('cost benchmark'!$A$13:$A$103,A21,'cost benchmark'!$E$13:$E$103)/SUMIF('cost benchmark'!$A$13:$A$103,A21,'cost benchmark'!$D$13:$D$103)</f>
        <v>17.88</v>
      </c>
      <c r="C21" s="35">
        <f>SUMIF('cost benchmark'!$A$13:$A$103,A21,'cost benchmark'!$D$13:$D$103)</f>
        <v>3332491</v>
      </c>
      <c r="D21" s="36">
        <f>'per line'!E25</f>
        <v>0</v>
      </c>
      <c r="E21" s="35">
        <f>SUMIF('cost benchmark'!$A$13:$A$103,A21,'cost benchmark'!$F$13:$F$103)</f>
        <v>0</v>
      </c>
      <c r="F21" s="37">
        <f t="shared" si="0"/>
        <v>0</v>
      </c>
      <c r="G21" s="38">
        <f t="shared" si="1"/>
        <v>0</v>
      </c>
      <c r="H21" s="26">
        <f>SUMIF('study area'!$A$4:$A$94,A21,'study area'!$G$4:$G$94)</f>
        <v>0</v>
      </c>
      <c r="I21" s="26">
        <f>SUMIF('study area'!$A$4:$A$94,A21,'study area'!$F$4:$F$94)</f>
        <v>0</v>
      </c>
      <c r="J21" s="19">
        <f>SUMIF('study area'!$A$4:$A$94,A21,'study area'!$I$4:$I$94)</f>
        <v>0</v>
      </c>
      <c r="K21" s="19">
        <f>SUMIF('study area'!$A$4:$A$94,A21,'study area'!$J$4:$J$94)</f>
        <v>0</v>
      </c>
    </row>
    <row r="22" spans="1:11" ht="12.75">
      <c r="A22" s="19" t="s">
        <v>48</v>
      </c>
      <c r="B22" s="34">
        <f>SUMIF('cost benchmark'!$A$13:$A$103,A22,'cost benchmark'!$E$13:$E$103)/SUMIF('cost benchmark'!$A$13:$A$103,A22,'cost benchmark'!$D$13:$D$103)</f>
        <v>29.4</v>
      </c>
      <c r="C22" s="35">
        <f>SUMIF('cost benchmark'!$A$13:$A$103,A22,'cost benchmark'!$D$13:$D$103)</f>
        <v>629415</v>
      </c>
      <c r="D22" s="36">
        <f>'per line'!E26</f>
        <v>0</v>
      </c>
      <c r="E22" s="35">
        <f>SUMIF('cost benchmark'!$A$13:$A$103,A22,'cost benchmark'!$F$13:$F$103)</f>
        <v>0</v>
      </c>
      <c r="F22" s="37">
        <f t="shared" si="0"/>
        <v>0</v>
      </c>
      <c r="G22" s="38">
        <f t="shared" si="1"/>
        <v>0</v>
      </c>
      <c r="H22" s="26">
        <f>SUMIF('study area'!$A$4:$A$94,A22,'study area'!$G$4:$G$94)</f>
        <v>0</v>
      </c>
      <c r="I22" s="26">
        <f>SUMIF('study area'!$A$4:$A$94,A22,'study area'!$F$4:$F$94)</f>
        <v>0</v>
      </c>
      <c r="J22" s="19">
        <f>SUMIF('study area'!$A$4:$A$94,A22,'study area'!$I$4:$I$94)</f>
        <v>0</v>
      </c>
      <c r="K22" s="19">
        <f>SUMIF('study area'!$A$4:$A$94,A22,'study area'!$J$4:$J$94)</f>
        <v>0</v>
      </c>
    </row>
    <row r="23" spans="1:11" ht="12.75">
      <c r="A23" s="19" t="s">
        <v>50</v>
      </c>
      <c r="B23" s="34">
        <f>SUMIF('cost benchmark'!$A$13:$A$103,A23,'cost benchmark'!$E$13:$E$103)/SUMIF('cost benchmark'!$A$13:$A$103,A23,'cost benchmark'!$D$13:$D$103)</f>
        <v>21.28212678305269</v>
      </c>
      <c r="C23" s="35">
        <f>SUMIF('cost benchmark'!$A$13:$A$103,A23,'cost benchmark'!$D$13:$D$103)</f>
        <v>5590763</v>
      </c>
      <c r="D23" s="36">
        <f>'per line'!E27</f>
        <v>0</v>
      </c>
      <c r="E23" s="35">
        <f>SUMIF('cost benchmark'!$A$13:$A$103,A23,'cost benchmark'!$F$13:$F$103)</f>
        <v>772320</v>
      </c>
      <c r="F23" s="37">
        <f t="shared" si="0"/>
        <v>772320</v>
      </c>
      <c r="G23" s="38">
        <f t="shared" si="1"/>
        <v>772320</v>
      </c>
      <c r="H23" s="26">
        <f>SUMIF('study area'!$A$4:$A$94,A23,'study area'!$G$4:$G$94)</f>
        <v>772320</v>
      </c>
      <c r="I23" s="26">
        <f>SUMIF('study area'!$A$4:$A$94,A23,'study area'!$F$4:$F$94)</f>
        <v>772320</v>
      </c>
      <c r="J23" s="19">
        <f>SUMIF('study area'!$A$4:$A$94,A23,'study area'!$I$4:$I$94)</f>
        <v>0</v>
      </c>
      <c r="K23" s="19">
        <f>SUMIF('study area'!$A$4:$A$94,A23,'study area'!$J$4:$J$94)</f>
        <v>0</v>
      </c>
    </row>
    <row r="24" spans="1:11" ht="12.75">
      <c r="A24" s="19" t="s">
        <v>52</v>
      </c>
      <c r="B24" s="34">
        <f>SUMIF('cost benchmark'!$A$13:$A$103,A24,'cost benchmark'!$E$13:$E$103)/SUMIF('cost benchmark'!$A$13:$A$103,A24,'cost benchmark'!$D$13:$D$103)</f>
        <v>22.825532244688723</v>
      </c>
      <c r="C24" s="35">
        <f>SUMIF('cost benchmark'!$A$13:$A$103,A24,'cost benchmark'!$D$13:$D$103)</f>
        <v>2219947</v>
      </c>
      <c r="D24" s="36">
        <f>'per line'!E28</f>
        <v>0</v>
      </c>
      <c r="E24" s="35">
        <f>SUMIF('cost benchmark'!$A$13:$A$103,A24,'cost benchmark'!$F$13:$F$103)</f>
        <v>0</v>
      </c>
      <c r="F24" s="37">
        <f t="shared" si="0"/>
        <v>0</v>
      </c>
      <c r="G24" s="38">
        <f t="shared" si="1"/>
        <v>0</v>
      </c>
      <c r="H24" s="26">
        <f>SUMIF('study area'!$A$4:$A$94,A24,'study area'!$G$4:$G$94)</f>
        <v>0</v>
      </c>
      <c r="I24" s="26">
        <f>SUMIF('study area'!$A$4:$A$94,A24,'study area'!$F$4:$F$94)</f>
        <v>0</v>
      </c>
      <c r="J24" s="19">
        <f>SUMIF('study area'!$A$4:$A$94,A24,'study area'!$I$4:$I$94)</f>
        <v>0</v>
      </c>
      <c r="K24" s="19">
        <f>SUMIF('study area'!$A$4:$A$94,A24,'study area'!$J$4:$J$94)</f>
        <v>0</v>
      </c>
    </row>
    <row r="25" spans="1:11" ht="12.75">
      <c r="A25" s="19" t="s">
        <v>54</v>
      </c>
      <c r="B25" s="34">
        <f>SUMIF('cost benchmark'!$A$13:$A$103,A25,'cost benchmark'!$E$13:$E$103)/SUMIF('cost benchmark'!$A$13:$A$103,A25,'cost benchmark'!$D$13:$D$103)</f>
        <v>25.03690672896173</v>
      </c>
      <c r="C25" s="35">
        <f>SUMIF('cost benchmark'!$A$13:$A$103,A25,'cost benchmark'!$D$13:$D$103)</f>
        <v>2722099</v>
      </c>
      <c r="D25" s="36">
        <f>'per line'!E29</f>
        <v>0</v>
      </c>
      <c r="E25" s="35">
        <f>SUMIF('cost benchmark'!$A$13:$A$103,A25,'cost benchmark'!$F$13:$F$103)</f>
        <v>8968776</v>
      </c>
      <c r="F25" s="37">
        <f t="shared" si="0"/>
        <v>8968776</v>
      </c>
      <c r="G25" s="38">
        <f t="shared" si="1"/>
        <v>8968776</v>
      </c>
      <c r="H25" s="26">
        <f>SUMIF('study area'!$A$4:$A$94,A25,'study area'!$G$4:$G$94)</f>
        <v>8968776</v>
      </c>
      <c r="I25" s="26">
        <f>SUMIF('study area'!$A$4:$A$94,A25,'study area'!$F$4:$F$94)</f>
        <v>8968776</v>
      </c>
      <c r="J25" s="19">
        <f>SUMIF('study area'!$A$4:$A$94,A25,'study area'!$I$4:$I$94)</f>
        <v>0</v>
      </c>
      <c r="K25" s="19">
        <f>SUMIF('study area'!$A$4:$A$94,A25,'study area'!$J$4:$J$94)</f>
        <v>0</v>
      </c>
    </row>
    <row r="26" spans="1:11" ht="12.75">
      <c r="A26" s="19" t="s">
        <v>56</v>
      </c>
      <c r="B26" s="34">
        <f>SUMIF('cost benchmark'!$A$13:$A$103,A26,'cost benchmark'!$E$13:$E$103)/SUMIF('cost benchmark'!$A$13:$A$103,A26,'cost benchmark'!$D$13:$D$103)</f>
        <v>38.34</v>
      </c>
      <c r="C26" s="35">
        <f>SUMIF('cost benchmark'!$A$13:$A$103,A26,'cost benchmark'!$D$13:$D$103)</f>
        <v>1224211</v>
      </c>
      <c r="D26" s="36">
        <f>'per line'!E30</f>
        <v>0</v>
      </c>
      <c r="E26" s="35">
        <f>SUMIF('cost benchmark'!$A$13:$A$103,A26,'cost benchmark'!$F$13:$F$103)</f>
        <v>7339776</v>
      </c>
      <c r="F26" s="37">
        <f t="shared" si="0"/>
        <v>7339776</v>
      </c>
      <c r="G26" s="38">
        <f t="shared" si="1"/>
        <v>7339776</v>
      </c>
      <c r="H26" s="26">
        <f>SUMIF('study area'!$A$4:$A$94,A26,'study area'!$G$4:$G$94)</f>
        <v>7339776</v>
      </c>
      <c r="I26" s="26">
        <f>SUMIF('study area'!$A$4:$A$94,A26,'study area'!$F$4:$F$94)</f>
        <v>7339776</v>
      </c>
      <c r="J26" s="19">
        <f>SUMIF('study area'!$A$4:$A$94,A26,'study area'!$I$4:$I$94)</f>
        <v>0</v>
      </c>
      <c r="K26" s="19">
        <f>SUMIF('study area'!$A$4:$A$94,A26,'study area'!$J$4:$J$94)</f>
        <v>0</v>
      </c>
    </row>
    <row r="27" spans="1:11" ht="12.75">
      <c r="A27" s="19" t="s">
        <v>58</v>
      </c>
      <c r="B27" s="34">
        <f>SUMIF('cost benchmark'!$A$13:$A$103,A27,'cost benchmark'!$E$13:$E$103)/SUMIF('cost benchmark'!$A$13:$A$103,A27,'cost benchmark'!$D$13:$D$103)</f>
        <v>29.949999999999996</v>
      </c>
      <c r="C27" s="35">
        <f>SUMIF('cost benchmark'!$A$13:$A$103,A27,'cost benchmark'!$D$13:$D$103)</f>
        <v>336539</v>
      </c>
      <c r="D27" s="36">
        <f>'per line'!E31</f>
        <v>0</v>
      </c>
      <c r="E27" s="35">
        <f>SUMIF('cost benchmark'!$A$13:$A$103,A27,'cost benchmark'!$F$13:$F$103)</f>
        <v>1762620</v>
      </c>
      <c r="F27" s="37">
        <f t="shared" si="0"/>
        <v>1762620</v>
      </c>
      <c r="G27" s="38">
        <f t="shared" si="1"/>
        <v>1762620</v>
      </c>
      <c r="H27" s="26">
        <f>SUMIF('study area'!$A$4:$A$94,A27,'study area'!$G$4:$G$94)</f>
        <v>1762620</v>
      </c>
      <c r="I27" s="26">
        <f>SUMIF('study area'!$A$4:$A$94,A27,'study area'!$F$4:$F$94)</f>
        <v>1762620</v>
      </c>
      <c r="J27" s="19">
        <f>SUMIF('study area'!$A$4:$A$94,A27,'study area'!$I$4:$I$94)</f>
        <v>0</v>
      </c>
      <c r="K27" s="19">
        <f>SUMIF('study area'!$A$4:$A$94,A27,'study area'!$J$4:$J$94)</f>
        <v>0</v>
      </c>
    </row>
    <row r="28" spans="1:11" ht="12.75">
      <c r="A28" s="19" t="s">
        <v>60</v>
      </c>
      <c r="B28" s="34">
        <f>SUMIF('cost benchmark'!$A$13:$A$103,A28,'cost benchmark'!$E$13:$E$103)/SUMIF('cost benchmark'!$A$13:$A$103,A28,'cost benchmark'!$D$13:$D$103)</f>
        <v>25.847004135938906</v>
      </c>
      <c r="C28" s="35">
        <f>SUMIF('cost benchmark'!$A$13:$A$103,A28,'cost benchmark'!$D$13:$D$103)</f>
        <v>3884245</v>
      </c>
      <c r="D28" s="36">
        <f>'per line'!E32</f>
        <v>0</v>
      </c>
      <c r="E28" s="35">
        <f>SUMIF('cost benchmark'!$A$13:$A$103,A28,'cost benchmark'!$F$13:$F$103)</f>
        <v>8726508</v>
      </c>
      <c r="F28" s="37">
        <f t="shared" si="0"/>
        <v>8726508</v>
      </c>
      <c r="G28" s="38">
        <f t="shared" si="1"/>
        <v>8726508</v>
      </c>
      <c r="H28" s="26">
        <f>SUMIF('study area'!$A$4:$A$94,A28,'study area'!$G$4:$G$94)</f>
        <v>8726508</v>
      </c>
      <c r="I28" s="26">
        <f>SUMIF('study area'!$A$4:$A$94,A28,'study area'!$F$4:$F$94)</f>
        <v>8726508</v>
      </c>
      <c r="J28" s="19">
        <f>SUMIF('study area'!$A$4:$A$94,A28,'study area'!$I$4:$I$94)</f>
        <v>0</v>
      </c>
      <c r="K28" s="19">
        <f>SUMIF('study area'!$A$4:$A$94,A28,'study area'!$J$4:$J$94)</f>
        <v>0</v>
      </c>
    </row>
    <row r="29" spans="1:11" ht="12.75">
      <c r="A29" s="19" t="s">
        <v>65</v>
      </c>
      <c r="B29" s="34">
        <f>SUMIF('cost benchmark'!$A$13:$A$103,A29,'cost benchmark'!$E$13:$E$103)/SUMIF('cost benchmark'!$A$13:$A$103,A29,'cost benchmark'!$D$13:$D$103)</f>
        <v>24.37</v>
      </c>
      <c r="C29" s="35">
        <f>SUMIF('cost benchmark'!$A$13:$A$103,A29,'cost benchmark'!$D$13:$D$103)</f>
        <v>243342</v>
      </c>
      <c r="D29" s="36">
        <f>'per line'!E33</f>
        <v>0</v>
      </c>
      <c r="E29" s="35">
        <f>SUMIF('cost benchmark'!$A$13:$A$103,A29,'cost benchmark'!$F$13:$F$103)</f>
        <v>0</v>
      </c>
      <c r="F29" s="37">
        <f t="shared" si="0"/>
        <v>0</v>
      </c>
      <c r="G29" s="38">
        <f t="shared" si="1"/>
        <v>0</v>
      </c>
      <c r="H29" s="26">
        <f>SUMIF('study area'!$A$4:$A$94,A29,'study area'!$G$4:$G$94)</f>
        <v>0</v>
      </c>
      <c r="I29" s="26">
        <f>SUMIF('study area'!$A$4:$A$94,A29,'study area'!$F$4:$F$94)</f>
        <v>0</v>
      </c>
      <c r="J29" s="19">
        <f>SUMIF('study area'!$A$4:$A$94,A29,'study area'!$I$4:$I$94)</f>
        <v>0</v>
      </c>
      <c r="K29" s="19">
        <f>SUMIF('study area'!$A$4:$A$94,A29,'study area'!$J$4:$J$94)</f>
        <v>0</v>
      </c>
    </row>
    <row r="30" spans="1:11" ht="12.75">
      <c r="A30" s="19" t="s">
        <v>67</v>
      </c>
      <c r="B30" s="34">
        <f>SUMIF('cost benchmark'!$A$13:$A$103,A30,'cost benchmark'!$E$13:$E$103)/SUMIF('cost benchmark'!$A$13:$A$103,A30,'cost benchmark'!$D$13:$D$103)</f>
        <v>27.210698079247887</v>
      </c>
      <c r="C30" s="35">
        <f>SUMIF('cost benchmark'!$A$13:$A$103,A30,'cost benchmark'!$D$13:$D$103)</f>
        <v>778393</v>
      </c>
      <c r="D30" s="36">
        <f>'per line'!E34</f>
        <v>0</v>
      </c>
      <c r="E30" s="35">
        <f>SUMIF('cost benchmark'!$A$13:$A$103,A30,'cost benchmark'!$F$13:$F$103)</f>
        <v>0</v>
      </c>
      <c r="F30" s="37">
        <f t="shared" si="0"/>
        <v>0</v>
      </c>
      <c r="G30" s="38">
        <f t="shared" si="1"/>
        <v>0</v>
      </c>
      <c r="H30" s="26">
        <f>SUMIF('study area'!$A$4:$A$94,A30,'study area'!$G$4:$G$94)</f>
        <v>0</v>
      </c>
      <c r="I30" s="26">
        <f>SUMIF('study area'!$A$4:$A$94,A30,'study area'!$F$4:$F$94)</f>
        <v>0</v>
      </c>
      <c r="J30" s="19">
        <f>SUMIF('study area'!$A$4:$A$94,A30,'study area'!$I$4:$I$94)</f>
        <v>0</v>
      </c>
      <c r="K30" s="19">
        <f>SUMIF('study area'!$A$4:$A$94,A30,'study area'!$J$4:$J$94)</f>
        <v>0</v>
      </c>
    </row>
    <row r="31" spans="1:11" ht="12.75">
      <c r="A31" s="19" t="s">
        <v>70</v>
      </c>
      <c r="B31" s="34">
        <f>SUMIF('cost benchmark'!$A$13:$A$103,A31,'cost benchmark'!$E$13:$E$103)/SUMIF('cost benchmark'!$A$13:$A$103,A31,'cost benchmark'!$D$13:$D$103)</f>
        <v>23.61</v>
      </c>
      <c r="C31" s="35">
        <f>SUMIF('cost benchmark'!$A$13:$A$103,A31,'cost benchmark'!$D$13:$D$103)</f>
        <v>708389</v>
      </c>
      <c r="D31" s="36">
        <f>'per line'!E35</f>
        <v>0</v>
      </c>
      <c r="E31" s="35">
        <f>SUMIF('cost benchmark'!$A$13:$A$103,A31,'cost benchmark'!$F$13:$F$103)</f>
        <v>0</v>
      </c>
      <c r="F31" s="37">
        <f t="shared" si="0"/>
        <v>0</v>
      </c>
      <c r="G31" s="38">
        <f t="shared" si="1"/>
        <v>0</v>
      </c>
      <c r="H31" s="26">
        <f>SUMIF('study area'!$A$4:$A$94,A31,'study area'!$G$4:$G$94)</f>
        <v>0</v>
      </c>
      <c r="I31" s="26">
        <f>SUMIF('study area'!$A$4:$A$94,A31,'study area'!$F$4:$F$94)</f>
        <v>0</v>
      </c>
      <c r="J31" s="19">
        <f>SUMIF('study area'!$A$4:$A$94,A31,'study area'!$I$4:$I$94)</f>
        <v>0</v>
      </c>
      <c r="K31" s="19">
        <f>SUMIF('study area'!$A$4:$A$94,A31,'study area'!$J$4:$J$94)</f>
        <v>0</v>
      </c>
    </row>
    <row r="32" spans="1:11" ht="12.75">
      <c r="A32" s="19" t="s">
        <v>72</v>
      </c>
      <c r="B32" s="34">
        <f>SUMIF('cost benchmark'!$A$13:$A$103,A32,'cost benchmark'!$E$13:$E$103)/SUMIF('cost benchmark'!$A$13:$A$103,A32,'cost benchmark'!$D$13:$D$103)</f>
        <v>14.99</v>
      </c>
      <c r="C32" s="35">
        <f>SUMIF('cost benchmark'!$A$13:$A$103,A32,'cost benchmark'!$D$13:$D$103)</f>
        <v>5623659</v>
      </c>
      <c r="D32" s="36">
        <f>'per line'!E36</f>
        <v>0</v>
      </c>
      <c r="E32" s="35">
        <f>SUMIF('cost benchmark'!$A$13:$A$103,A32,'cost benchmark'!$F$13:$F$103)</f>
        <v>0</v>
      </c>
      <c r="F32" s="37">
        <f t="shared" si="0"/>
        <v>0</v>
      </c>
      <c r="G32" s="38">
        <f t="shared" si="1"/>
        <v>0</v>
      </c>
      <c r="H32" s="26">
        <f>SUMIF('study area'!$A$4:$A$94,A32,'study area'!$G$4:$G$94)</f>
        <v>0</v>
      </c>
      <c r="I32" s="26">
        <f>SUMIF('study area'!$A$4:$A$94,A32,'study area'!$F$4:$F$94)</f>
        <v>0</v>
      </c>
      <c r="J32" s="19">
        <f>SUMIF('study area'!$A$4:$A$94,A32,'study area'!$I$4:$I$94)</f>
        <v>0</v>
      </c>
      <c r="K32" s="19">
        <f>SUMIF('study area'!$A$4:$A$94,A32,'study area'!$J$4:$J$94)</f>
        <v>0</v>
      </c>
    </row>
    <row r="33" spans="1:11" ht="12.75">
      <c r="A33" s="19" t="s">
        <v>74</v>
      </c>
      <c r="B33" s="34">
        <f>SUMIF('cost benchmark'!$A$13:$A$103,A33,'cost benchmark'!$E$13:$E$103)/SUMIF('cost benchmark'!$A$13:$A$103,A33,'cost benchmark'!$D$13:$D$103)</f>
        <v>23.55</v>
      </c>
      <c r="C33" s="35">
        <f>SUMIF('cost benchmark'!$A$13:$A$103,A33,'cost benchmark'!$D$13:$D$103)</f>
        <v>742394</v>
      </c>
      <c r="D33" s="36">
        <f>'per line'!E37</f>
        <v>0</v>
      </c>
      <c r="E33" s="35">
        <f>SUMIF('cost benchmark'!$A$13:$A$103,A33,'cost benchmark'!$F$13:$F$103)</f>
        <v>4603776</v>
      </c>
      <c r="F33" s="37">
        <f t="shared" si="0"/>
        <v>4603776</v>
      </c>
      <c r="G33" s="38">
        <f t="shared" si="1"/>
        <v>4603776</v>
      </c>
      <c r="H33" s="26">
        <f>SUMIF('study area'!$A$4:$A$94,A33,'study area'!$G$4:$G$94)</f>
        <v>4603776</v>
      </c>
      <c r="I33" s="26">
        <f>SUMIF('study area'!$A$4:$A$94,A33,'study area'!$F$4:$F$94)</f>
        <v>4603776</v>
      </c>
      <c r="J33" s="19">
        <f>SUMIF('study area'!$A$4:$A$94,A33,'study area'!$I$4:$I$94)</f>
        <v>0</v>
      </c>
      <c r="K33" s="19">
        <f>SUMIF('study area'!$A$4:$A$94,A33,'study area'!$J$4:$J$94)</f>
        <v>0</v>
      </c>
    </row>
    <row r="34" spans="1:11" ht="12.75">
      <c r="A34" s="19" t="s">
        <v>76</v>
      </c>
      <c r="B34" s="34">
        <f>SUMIF('cost benchmark'!$A$13:$A$103,A34,'cost benchmark'!$E$13:$E$103)/SUMIF('cost benchmark'!$A$13:$A$103,A34,'cost benchmark'!$D$13:$D$103)</f>
        <v>17.113028388313637</v>
      </c>
      <c r="C34" s="35">
        <f>SUMIF('cost benchmark'!$A$13:$A$103,A34,'cost benchmark'!$D$13:$D$103)</f>
        <v>1039160</v>
      </c>
      <c r="D34" s="36">
        <f>'per line'!E38</f>
        <v>0</v>
      </c>
      <c r="E34" s="35">
        <f>SUMIF('cost benchmark'!$A$13:$A$103,A34,'cost benchmark'!$F$13:$F$103)</f>
        <v>0</v>
      </c>
      <c r="F34" s="37">
        <f t="shared" si="0"/>
        <v>0</v>
      </c>
      <c r="G34" s="38">
        <f t="shared" si="1"/>
        <v>0</v>
      </c>
      <c r="H34" s="26">
        <f>SUMIF('study area'!$A$4:$A$94,A34,'study area'!$G$4:$G$94)</f>
        <v>0</v>
      </c>
      <c r="I34" s="26">
        <f>SUMIF('study area'!$A$4:$A$94,A34,'study area'!$F$4:$F$94)</f>
        <v>0</v>
      </c>
      <c r="J34" s="19">
        <f>SUMIF('study area'!$A$4:$A$94,A34,'study area'!$I$4:$I$94)</f>
        <v>0</v>
      </c>
      <c r="K34" s="19">
        <f>SUMIF('study area'!$A$4:$A$94,A34,'study area'!$J$4:$J$94)</f>
        <v>0</v>
      </c>
    </row>
    <row r="35" spans="1:11" ht="12.75">
      <c r="A35" s="19" t="s">
        <v>79</v>
      </c>
      <c r="B35" s="34">
        <f>SUMIF('cost benchmark'!$A$13:$A$103,A35,'cost benchmark'!$E$13:$E$103)/SUMIF('cost benchmark'!$A$13:$A$103,A35,'cost benchmark'!$D$13:$D$103)</f>
        <v>16.156550710800506</v>
      </c>
      <c r="C35" s="35">
        <f>SUMIF('cost benchmark'!$A$13:$A$103,A35,'cost benchmark'!$D$13:$D$103)</f>
        <v>11292831</v>
      </c>
      <c r="D35" s="36">
        <f>'per line'!E39</f>
        <v>0</v>
      </c>
      <c r="E35" s="35">
        <f>SUMIF('cost benchmark'!$A$13:$A$103,A35,'cost benchmark'!$F$13:$F$103)</f>
        <v>0</v>
      </c>
      <c r="F35" s="37">
        <f t="shared" si="0"/>
        <v>0</v>
      </c>
      <c r="G35" s="38">
        <f t="shared" si="1"/>
        <v>0</v>
      </c>
      <c r="H35" s="26">
        <f>SUMIF('study area'!$A$4:$A$94,A35,'study area'!$G$4:$G$94)</f>
        <v>0</v>
      </c>
      <c r="I35" s="26">
        <f>SUMIF('study area'!$A$4:$A$94,A35,'study area'!$F$4:$F$94)</f>
        <v>0</v>
      </c>
      <c r="J35" s="19">
        <f>SUMIF('study area'!$A$4:$A$94,A35,'study area'!$I$4:$I$94)</f>
        <v>0</v>
      </c>
      <c r="K35" s="19">
        <f>SUMIF('study area'!$A$4:$A$94,A35,'study area'!$J$4:$J$94)</f>
        <v>0</v>
      </c>
    </row>
    <row r="36" spans="1:11" ht="12.75">
      <c r="A36" s="19" t="s">
        <v>82</v>
      </c>
      <c r="B36" s="34">
        <f>SUMIF('cost benchmark'!$A$13:$A$103,A36,'cost benchmark'!$E$13:$E$103)/SUMIF('cost benchmark'!$A$13:$A$103,A36,'cost benchmark'!$D$13:$D$103)</f>
        <v>21.460729939263885</v>
      </c>
      <c r="C36" s="35">
        <f>SUMIF('cost benchmark'!$A$13:$A$103,A36,'cost benchmark'!$D$13:$D$103)</f>
        <v>5895833</v>
      </c>
      <c r="D36" s="36">
        <f>'per line'!E40</f>
        <v>0</v>
      </c>
      <c r="E36" s="35">
        <f>SUMIF('cost benchmark'!$A$13:$A$103,A36,'cost benchmark'!$F$13:$F$103)</f>
        <v>0</v>
      </c>
      <c r="F36" s="37">
        <f t="shared" si="0"/>
        <v>0</v>
      </c>
      <c r="G36" s="38">
        <f t="shared" si="1"/>
        <v>0</v>
      </c>
      <c r="H36" s="26">
        <f>SUMIF('study area'!$A$4:$A$94,A36,'study area'!$G$4:$G$94)</f>
        <v>0</v>
      </c>
      <c r="I36" s="26">
        <f>SUMIF('study area'!$A$4:$A$94,A36,'study area'!$F$4:$F$94)</f>
        <v>0</v>
      </c>
      <c r="J36" s="19">
        <f>SUMIF('study area'!$A$4:$A$94,A36,'study area'!$I$4:$I$94)</f>
        <v>0</v>
      </c>
      <c r="K36" s="19">
        <f>SUMIF('study area'!$A$4:$A$94,A36,'study area'!$J$4:$J$94)</f>
        <v>0</v>
      </c>
    </row>
    <row r="37" spans="1:11" ht="12.75">
      <c r="A37" s="19" t="s">
        <v>86</v>
      </c>
      <c r="B37" s="34">
        <f>SUMIF('cost benchmark'!$A$13:$A$103,A37,'cost benchmark'!$E$13:$E$103)/SUMIF('cost benchmark'!$A$13:$A$103,A37,'cost benchmark'!$D$13:$D$103)</f>
        <v>25.317789171366318</v>
      </c>
      <c r="C37" s="35">
        <f>SUMIF('cost benchmark'!$A$13:$A$103,A37,'cost benchmark'!$D$13:$D$103)</f>
        <v>1627426</v>
      </c>
      <c r="D37" s="36">
        <f>'per line'!E41</f>
        <v>0</v>
      </c>
      <c r="E37" s="35">
        <f>SUMIF('cost benchmark'!$A$13:$A$103,A37,'cost benchmark'!$F$13:$F$103)</f>
        <v>0</v>
      </c>
      <c r="F37" s="37">
        <f t="shared" si="0"/>
        <v>0</v>
      </c>
      <c r="G37" s="38">
        <f t="shared" si="1"/>
        <v>0</v>
      </c>
      <c r="H37" s="26">
        <f>SUMIF('study area'!$A$4:$A$94,A37,'study area'!$G$4:$G$94)</f>
        <v>0</v>
      </c>
      <c r="I37" s="26">
        <f>SUMIF('study area'!$A$4:$A$94,A37,'study area'!$F$4:$F$94)</f>
        <v>0</v>
      </c>
      <c r="J37" s="19">
        <f>SUMIF('study area'!$A$4:$A$94,A37,'study area'!$I$4:$I$94)</f>
        <v>0</v>
      </c>
      <c r="K37" s="19">
        <f>SUMIF('study area'!$A$4:$A$94,A37,'study area'!$J$4:$J$94)</f>
        <v>0</v>
      </c>
    </row>
    <row r="38" spans="1:11" ht="12.75">
      <c r="A38" s="19" t="s">
        <v>88</v>
      </c>
      <c r="B38" s="34">
        <f>SUMIF('cost benchmark'!$A$13:$A$103,A38,'cost benchmark'!$E$13:$E$103)/SUMIF('cost benchmark'!$A$13:$A$103,A38,'cost benchmark'!$D$13:$D$103)</f>
        <v>20.80839435896161</v>
      </c>
      <c r="C38" s="35">
        <f>SUMIF('cost benchmark'!$A$13:$A$103,A38,'cost benchmark'!$D$13:$D$103)</f>
        <v>1689618</v>
      </c>
      <c r="D38" s="36">
        <f>'per line'!E42</f>
        <v>0</v>
      </c>
      <c r="E38" s="35">
        <f>SUMIF('cost benchmark'!$A$13:$A$103,A38,'cost benchmark'!$F$13:$F$103)</f>
        <v>17076</v>
      </c>
      <c r="F38" s="37">
        <f t="shared" si="0"/>
        <v>17076</v>
      </c>
      <c r="G38" s="38">
        <f t="shared" si="1"/>
        <v>17076</v>
      </c>
      <c r="H38" s="26">
        <f>SUMIF('study area'!$A$4:$A$94,A38,'study area'!$G$4:$G$94)</f>
        <v>17076</v>
      </c>
      <c r="I38" s="26">
        <f>SUMIF('study area'!$A$4:$A$94,A38,'study area'!$F$4:$F$94)</f>
        <v>17076</v>
      </c>
      <c r="J38" s="19">
        <f>SUMIF('study area'!$A$4:$A$94,A38,'study area'!$I$4:$I$94)</f>
        <v>0</v>
      </c>
      <c r="K38" s="19">
        <f>SUMIF('study area'!$A$4:$A$94,A38,'study area'!$J$4:$J$94)</f>
        <v>0</v>
      </c>
    </row>
    <row r="39" spans="1:11" ht="12.75">
      <c r="A39" s="19" t="s">
        <v>90</v>
      </c>
      <c r="B39" s="34">
        <f>SUMIF('cost benchmark'!$A$13:$A$103,A39,'cost benchmark'!$E$13:$E$103)/SUMIF('cost benchmark'!$A$13:$A$103,A39,'cost benchmark'!$D$13:$D$103)</f>
        <v>18.30783388050833</v>
      </c>
      <c r="C39" s="35">
        <f>SUMIF('cost benchmark'!$A$13:$A$103,A39,'cost benchmark'!$D$13:$D$103)</f>
        <v>6344710</v>
      </c>
      <c r="D39" s="36">
        <f>'per line'!E43</f>
        <v>0</v>
      </c>
      <c r="E39" s="35">
        <f>SUMIF('cost benchmark'!$A$13:$A$103,A39,'cost benchmark'!$F$13:$F$103)</f>
        <v>0</v>
      </c>
      <c r="F39" s="37">
        <f t="shared" si="0"/>
        <v>0</v>
      </c>
      <c r="G39" s="38">
        <f t="shared" si="1"/>
        <v>0</v>
      </c>
      <c r="H39" s="26">
        <f>SUMIF('study area'!$A$4:$A$94,A39,'study area'!$G$4:$G$94)</f>
        <v>0</v>
      </c>
      <c r="I39" s="26">
        <f>SUMIF('study area'!$A$4:$A$94,A39,'study area'!$F$4:$F$94)</f>
        <v>0</v>
      </c>
      <c r="J39" s="19">
        <f>SUMIF('study area'!$A$4:$A$94,A39,'study area'!$I$4:$I$94)</f>
        <v>0</v>
      </c>
      <c r="K39" s="19">
        <f>SUMIF('study area'!$A$4:$A$94,A39,'study area'!$J$4:$J$94)</f>
        <v>0</v>
      </c>
    </row>
    <row r="40" spans="1:11" ht="12.75">
      <c r="A40" s="19" t="s">
        <v>92</v>
      </c>
      <c r="B40" s="34">
        <f>SUMIF('cost benchmark'!$A$13:$A$103,A40,'cost benchmark'!$E$13:$E$103)/SUMIF('cost benchmark'!$A$13:$A$103,A40,'cost benchmark'!$D$13:$D$103)</f>
        <v>17.22</v>
      </c>
      <c r="C40" s="35">
        <f>SUMIF('cost benchmark'!$A$13:$A$103,A40,'cost benchmark'!$D$13:$D$103)</f>
        <v>624292</v>
      </c>
      <c r="D40" s="36">
        <f>'per line'!E44</f>
        <v>0</v>
      </c>
      <c r="E40" s="35">
        <f>SUMIF('cost benchmark'!$A$13:$A$103,A40,'cost benchmark'!$F$13:$F$103)</f>
        <v>0</v>
      </c>
      <c r="F40" s="37">
        <f t="shared" si="0"/>
        <v>0</v>
      </c>
      <c r="G40" s="38">
        <f t="shared" si="1"/>
        <v>0</v>
      </c>
      <c r="H40" s="26">
        <f>SUMIF('study area'!$A$4:$A$94,A40,'study area'!$G$4:$G$94)</f>
        <v>0</v>
      </c>
      <c r="I40" s="26">
        <f>SUMIF('study area'!$A$4:$A$94,A40,'study area'!$F$4:$F$94)</f>
        <v>0</v>
      </c>
      <c r="J40" s="19">
        <f>SUMIF('study area'!$A$4:$A$94,A40,'study area'!$I$4:$I$94)</f>
        <v>0</v>
      </c>
      <c r="K40" s="19">
        <f>SUMIF('study area'!$A$4:$A$94,A40,'study area'!$J$4:$J$94)</f>
        <v>0</v>
      </c>
    </row>
    <row r="41" spans="1:11" ht="12.75">
      <c r="A41" s="19" t="s">
        <v>94</v>
      </c>
      <c r="B41" s="34">
        <f>SUMIF('cost benchmark'!$A$13:$A$103,A41,'cost benchmark'!$E$13:$E$103)/SUMIF('cost benchmark'!$A$13:$A$103,A41,'cost benchmark'!$D$13:$D$103)</f>
        <v>25.159004508411066</v>
      </c>
      <c r="C41" s="35">
        <f>SUMIF('cost benchmark'!$A$13:$A$103,A41,'cost benchmark'!$D$13:$D$103)</f>
        <v>1510510</v>
      </c>
      <c r="D41" s="36">
        <f>'per line'!E45</f>
        <v>0</v>
      </c>
      <c r="E41" s="35">
        <f>SUMIF('cost benchmark'!$A$13:$A$103,A41,'cost benchmark'!$F$13:$F$103)</f>
        <v>5578296</v>
      </c>
      <c r="F41" s="37">
        <f t="shared" si="0"/>
        <v>5578296</v>
      </c>
      <c r="G41" s="38">
        <f t="shared" si="1"/>
        <v>5578296</v>
      </c>
      <c r="H41" s="26">
        <f>SUMIF('study area'!$A$4:$A$94,A41,'study area'!$G$4:$G$94)</f>
        <v>5578296</v>
      </c>
      <c r="I41" s="26">
        <f>SUMIF('study area'!$A$4:$A$94,A41,'study area'!$F$4:$F$94)</f>
        <v>5578296</v>
      </c>
      <c r="J41" s="19">
        <f>SUMIF('study area'!$A$4:$A$94,A41,'study area'!$I$4:$I$94)</f>
        <v>0</v>
      </c>
      <c r="K41" s="19">
        <f>SUMIF('study area'!$A$4:$A$94,A41,'study area'!$J$4:$J$94)</f>
        <v>0</v>
      </c>
    </row>
    <row r="42" spans="1:11" ht="12.75">
      <c r="A42" s="19" t="s">
        <v>96</v>
      </c>
      <c r="B42" s="34">
        <f>SUMIF('cost benchmark'!$A$13:$A$103,A42,'cost benchmark'!$E$13:$E$103)/SUMIF('cost benchmark'!$A$13:$A$103,A42,'cost benchmark'!$D$13:$D$103)</f>
        <v>27.3</v>
      </c>
      <c r="C42" s="35">
        <f>SUMIF('cost benchmark'!$A$13:$A$103,A42,'cost benchmark'!$D$13:$D$103)</f>
        <v>262654</v>
      </c>
      <c r="D42" s="36">
        <f>'per line'!E46</f>
        <v>0</v>
      </c>
      <c r="E42" s="35">
        <f>SUMIF('cost benchmark'!$A$13:$A$103,A42,'cost benchmark'!$F$13:$F$103)</f>
        <v>0</v>
      </c>
      <c r="F42" s="37">
        <f t="shared" si="0"/>
        <v>0</v>
      </c>
      <c r="G42" s="38">
        <f t="shared" si="1"/>
        <v>0</v>
      </c>
      <c r="H42" s="26">
        <f>SUMIF('study area'!$A$4:$A$94,A42,'study area'!$G$4:$G$94)</f>
        <v>0</v>
      </c>
      <c r="I42" s="26">
        <f>SUMIF('study area'!$A$4:$A$94,A42,'study area'!$F$4:$F$94)</f>
        <v>0</v>
      </c>
      <c r="J42" s="19">
        <f>SUMIF('study area'!$A$4:$A$94,A42,'study area'!$I$4:$I$94)</f>
        <v>0</v>
      </c>
      <c r="K42" s="19">
        <f>SUMIF('study area'!$A$4:$A$94,A42,'study area'!$J$4:$J$94)</f>
        <v>0</v>
      </c>
    </row>
    <row r="43" spans="1:11" ht="12.75">
      <c r="A43" s="19" t="s">
        <v>98</v>
      </c>
      <c r="B43" s="34">
        <f>SUMIF('cost benchmark'!$A$13:$A$103,A43,'cost benchmark'!$E$13:$E$103)/SUMIF('cost benchmark'!$A$13:$A$103,A43,'cost benchmark'!$D$13:$D$103)</f>
        <v>25.099276199791795</v>
      </c>
      <c r="C43" s="35">
        <f>SUMIF('cost benchmark'!$A$13:$A$103,A43,'cost benchmark'!$D$13:$D$103)</f>
        <v>2703094</v>
      </c>
      <c r="D43" s="36">
        <f>'per line'!E47</f>
        <v>0</v>
      </c>
      <c r="E43" s="35">
        <f>SUMIF('cost benchmark'!$A$13:$A$103,A43,'cost benchmark'!$F$13:$F$103)</f>
        <v>0</v>
      </c>
      <c r="F43" s="37">
        <f t="shared" si="0"/>
        <v>0</v>
      </c>
      <c r="G43" s="38">
        <f t="shared" si="1"/>
        <v>0</v>
      </c>
      <c r="H43" s="26">
        <f>SUMIF('study area'!$A$4:$A$94,A43,'study area'!$G$4:$G$94)</f>
        <v>0</v>
      </c>
      <c r="I43" s="26">
        <f>SUMIF('study area'!$A$4:$A$94,A43,'study area'!$F$4:$F$94)</f>
        <v>0</v>
      </c>
      <c r="J43" s="19">
        <f>SUMIF('study area'!$A$4:$A$94,A43,'study area'!$I$4:$I$94)</f>
        <v>0</v>
      </c>
      <c r="K43" s="19">
        <f>SUMIF('study area'!$A$4:$A$94,A43,'study area'!$J$4:$J$94)</f>
        <v>0</v>
      </c>
    </row>
    <row r="44" spans="1:11" ht="12.75">
      <c r="A44" s="19" t="s">
        <v>101</v>
      </c>
      <c r="B44" s="34">
        <f>SUMIF('cost benchmark'!$A$13:$A$103,A44,'cost benchmark'!$E$13:$E$103)/SUMIF('cost benchmark'!$A$13:$A$103,A44,'cost benchmark'!$D$13:$D$103)</f>
        <v>21.380030781068537</v>
      </c>
      <c r="C44" s="35">
        <f>SUMIF('cost benchmark'!$A$13:$A$103,A44,'cost benchmark'!$D$13:$D$103)</f>
        <v>10443757</v>
      </c>
      <c r="D44" s="36">
        <f>'per line'!E48</f>
        <v>0</v>
      </c>
      <c r="E44" s="35">
        <f>SUMIF('cost benchmark'!$A$13:$A$103,A44,'cost benchmark'!$F$13:$F$103)</f>
        <v>5646744</v>
      </c>
      <c r="F44" s="37">
        <f t="shared" si="0"/>
        <v>5646744</v>
      </c>
      <c r="G44" s="38">
        <f t="shared" si="1"/>
        <v>5646744</v>
      </c>
      <c r="H44" s="26">
        <f>SUMIF('study area'!$A$4:$A$94,A44,'study area'!$G$4:$G$94)</f>
        <v>5646744</v>
      </c>
      <c r="I44" s="26">
        <f>SUMIF('study area'!$A$4:$A$94,A44,'study area'!$F$4:$F$94)</f>
        <v>5646744</v>
      </c>
      <c r="J44" s="19">
        <f>SUMIF('study area'!$A$4:$A$94,A44,'study area'!$I$4:$I$94)</f>
        <v>0</v>
      </c>
      <c r="K44" s="19">
        <f>SUMIF('study area'!$A$4:$A$94,A44,'study area'!$J$4:$J$94)</f>
        <v>0</v>
      </c>
    </row>
    <row r="45" spans="1:11" ht="12.75">
      <c r="A45" s="19" t="s">
        <v>104</v>
      </c>
      <c r="B45" s="34">
        <f>SUMIF('cost benchmark'!$A$13:$A$103,A45,'cost benchmark'!$E$13:$E$103)/SUMIF('cost benchmark'!$A$13:$A$103,A45,'cost benchmark'!$D$13:$D$103)</f>
        <v>18.55</v>
      </c>
      <c r="C45" s="35">
        <f>SUMIF('cost benchmark'!$A$13:$A$103,A45,'cost benchmark'!$D$13:$D$103)</f>
        <v>981536</v>
      </c>
      <c r="D45" s="36">
        <f>'per line'!E49</f>
        <v>0</v>
      </c>
      <c r="E45" s="35">
        <f>SUMIF('cost benchmark'!$A$13:$A$103,A45,'cost benchmark'!$F$13:$F$103)</f>
        <v>0</v>
      </c>
      <c r="F45" s="37">
        <f t="shared" si="0"/>
        <v>0</v>
      </c>
      <c r="G45" s="38">
        <f t="shared" si="1"/>
        <v>0</v>
      </c>
      <c r="H45" s="26">
        <f>SUMIF('study area'!$A$4:$A$94,A45,'study area'!$G$4:$G$94)</f>
        <v>0</v>
      </c>
      <c r="I45" s="26">
        <f>SUMIF('study area'!$A$4:$A$94,A45,'study area'!$F$4:$F$94)</f>
        <v>0</v>
      </c>
      <c r="J45" s="19">
        <f>SUMIF('study area'!$A$4:$A$94,A45,'study area'!$I$4:$I$94)</f>
        <v>0</v>
      </c>
      <c r="K45" s="19">
        <f>SUMIF('study area'!$A$4:$A$94,A45,'study area'!$J$4:$J$94)</f>
        <v>0</v>
      </c>
    </row>
    <row r="46" spans="1:11" ht="12.75">
      <c r="A46" s="33" t="s">
        <v>106</v>
      </c>
      <c r="B46" s="34">
        <f>SUMIF('cost benchmark'!$A$13:$A$103,A46,'cost benchmark'!$E$13:$E$103)/SUMIF('cost benchmark'!$A$13:$A$103,A46,'cost benchmark'!$D$13:$D$103)</f>
        <v>22.918372531668517</v>
      </c>
      <c r="C46" s="35">
        <f>SUMIF('cost benchmark'!$A$13:$A$103,A46,'cost benchmark'!$D$13:$D$103)</f>
        <v>4021897</v>
      </c>
      <c r="D46" s="36">
        <f>'per line'!E50</f>
        <v>0</v>
      </c>
      <c r="E46" s="35">
        <f>SUMIF('cost benchmark'!$A$13:$A$103,A46,'cost benchmark'!$F$13:$F$103)</f>
        <v>1263000</v>
      </c>
      <c r="F46" s="37">
        <f t="shared" si="0"/>
        <v>1263000</v>
      </c>
      <c r="G46" s="38">
        <f t="shared" si="1"/>
        <v>1263000</v>
      </c>
      <c r="H46" s="26">
        <f>SUMIF('study area'!$A$4:$A$94,A46,'study area'!$G$4:$G$94)</f>
        <v>1263000</v>
      </c>
      <c r="I46" s="26">
        <f>SUMIF('study area'!$A$4:$A$94,A46,'study area'!$F$4:$F$94)</f>
        <v>1263000</v>
      </c>
      <c r="J46" s="19">
        <f>SUMIF('study area'!$A$4:$A$94,A46,'study area'!$I$4:$I$94)</f>
        <v>0</v>
      </c>
      <c r="K46" s="19">
        <f>SUMIF('study area'!$A$4:$A$94,A46,'study area'!$J$4:$J$94)</f>
        <v>0</v>
      </c>
    </row>
    <row r="47" spans="1:11" ht="12.75">
      <c r="A47" s="19" t="s">
        <v>110</v>
      </c>
      <c r="B47" s="34">
        <f>SUMIF('cost benchmark'!$A$13:$A$103,A47,'cost benchmark'!$E$13:$E$103)/SUMIF('cost benchmark'!$A$13:$A$103,A47,'cost benchmark'!$D$13:$D$103)</f>
        <v>31.470000000000002</v>
      </c>
      <c r="C47" s="35">
        <f>SUMIF('cost benchmark'!$A$13:$A$103,A47,'cost benchmark'!$D$13:$D$103)</f>
        <v>313359</v>
      </c>
      <c r="D47" s="36">
        <f>'per line'!E51</f>
        <v>0</v>
      </c>
      <c r="E47" s="35">
        <f>SUMIF('cost benchmark'!$A$13:$A$103,A47,'cost benchmark'!$F$13:$F$103)</f>
        <v>1454568</v>
      </c>
      <c r="F47" s="37">
        <f t="shared" si="0"/>
        <v>1454568</v>
      </c>
      <c r="G47" s="38">
        <f t="shared" si="1"/>
        <v>1454568</v>
      </c>
      <c r="H47" s="26">
        <f>SUMIF('study area'!$A$4:$A$94,A47,'study area'!$G$4:$G$94)</f>
        <v>1454568</v>
      </c>
      <c r="I47" s="26">
        <f>SUMIF('study area'!$A$4:$A$94,A47,'study area'!$F$4:$F$94)</f>
        <v>1454568</v>
      </c>
      <c r="J47" s="19">
        <f>SUMIF('study area'!$A$4:$A$94,A47,'study area'!$I$4:$I$94)</f>
        <v>0</v>
      </c>
      <c r="K47" s="19">
        <f>SUMIF('study area'!$A$4:$A$94,A47,'study area'!$J$4:$J$94)</f>
        <v>0</v>
      </c>
    </row>
    <row r="48" spans="1:11" ht="12.75">
      <c r="A48" s="19" t="s">
        <v>112</v>
      </c>
      <c r="B48" s="34">
        <f>SUMIF('cost benchmark'!$A$13:$A$103,A48,'cost benchmark'!$E$13:$E$103)/SUMIF('cost benchmark'!$A$13:$A$103,A48,'cost benchmark'!$D$13:$D$103)</f>
        <v>19.158325442639253</v>
      </c>
      <c r="C48" s="35">
        <f>SUMIF('cost benchmark'!$A$13:$A$103,A48,'cost benchmark'!$D$13:$D$103)</f>
        <v>2928344</v>
      </c>
      <c r="D48" s="36">
        <f>'per line'!E52</f>
        <v>0</v>
      </c>
      <c r="E48" s="35">
        <f>SUMIF('cost benchmark'!$A$13:$A$103,A48,'cost benchmark'!$F$13:$F$103)</f>
        <v>0</v>
      </c>
      <c r="F48" s="37">
        <f t="shared" si="0"/>
        <v>0</v>
      </c>
      <c r="G48" s="38">
        <f t="shared" si="1"/>
        <v>0</v>
      </c>
      <c r="H48" s="26">
        <f>SUMIF('study area'!$A$4:$A$94,A48,'study area'!$G$4:$G$94)</f>
        <v>0</v>
      </c>
      <c r="I48" s="26">
        <f>SUMIF('study area'!$A$4:$A$94,A48,'study area'!$F$4:$F$94)</f>
        <v>0</v>
      </c>
      <c r="J48" s="19">
        <f>SUMIF('study area'!$A$4:$A$94,A48,'study area'!$I$4:$I$94)</f>
        <v>0</v>
      </c>
      <c r="K48" s="19">
        <f>SUMIF('study area'!$A$4:$A$94,A48,'study area'!$J$4:$J$94)</f>
        <v>0</v>
      </c>
    </row>
    <row r="49" spans="1:11" ht="12.75">
      <c r="A49" s="19" t="s">
        <v>114</v>
      </c>
      <c r="B49" s="34">
        <f>SUMIF('cost benchmark'!$A$13:$A$103,A49,'cost benchmark'!$E$13:$E$103)/SUMIF('cost benchmark'!$A$13:$A$103,A49,'cost benchmark'!$D$13:$D$103)</f>
        <v>23.481802600211136</v>
      </c>
      <c r="C49" s="35">
        <f>SUMIF('cost benchmark'!$A$13:$A$103,A49,'cost benchmark'!$D$13:$D$103)</f>
        <v>2461877</v>
      </c>
      <c r="D49" s="36">
        <f>'per line'!E53</f>
        <v>0</v>
      </c>
      <c r="E49" s="35">
        <f>SUMIF('cost benchmark'!$A$13:$A$103,A49,'cost benchmark'!$F$13:$F$103)</f>
        <v>0</v>
      </c>
      <c r="F49" s="37">
        <f t="shared" si="0"/>
        <v>0</v>
      </c>
      <c r="G49" s="38">
        <f t="shared" si="1"/>
        <v>0</v>
      </c>
      <c r="H49" s="26">
        <f>SUMIF('study area'!$A$4:$A$94,A49,'study area'!$G$4:$G$94)</f>
        <v>0</v>
      </c>
      <c r="I49" s="26">
        <f>SUMIF('study area'!$A$4:$A$94,A49,'study area'!$F$4:$F$94)</f>
        <v>0</v>
      </c>
      <c r="J49" s="19">
        <f>SUMIF('study area'!$A$4:$A$94,A49,'study area'!$I$4:$I$94)</f>
        <v>0</v>
      </c>
      <c r="K49" s="19">
        <f>SUMIF('study area'!$A$4:$A$94,A49,'study area'!$J$4:$J$94)</f>
        <v>0</v>
      </c>
    </row>
    <row r="50" spans="1:11" ht="12.75">
      <c r="A50" s="19" t="s">
        <v>116</v>
      </c>
      <c r="B50" s="34">
        <f>SUMIF('cost benchmark'!$A$13:$A$103,A50,'cost benchmark'!$E$13:$E$103)/SUMIF('cost benchmark'!$A$13:$A$103,A50,'cost benchmark'!$D$13:$D$103)</f>
        <v>34.03</v>
      </c>
      <c r="C50" s="35">
        <f>SUMIF('cost benchmark'!$A$13:$A$103,A50,'cost benchmark'!$D$13:$D$103)</f>
        <v>773859</v>
      </c>
      <c r="D50" s="36">
        <f>'per line'!E54</f>
        <v>0</v>
      </c>
      <c r="E50" s="35">
        <f>SUMIF('cost benchmark'!$A$13:$A$103,A50,'cost benchmark'!$F$13:$F$103)</f>
        <v>1673112</v>
      </c>
      <c r="F50" s="37">
        <f t="shared" si="0"/>
        <v>1673112</v>
      </c>
      <c r="G50" s="38">
        <f t="shared" si="1"/>
        <v>1673112</v>
      </c>
      <c r="H50" s="26">
        <f>SUMIF('study area'!$A$4:$A$94,A50,'study area'!$G$4:$G$94)</f>
        <v>1673112</v>
      </c>
      <c r="I50" s="26">
        <f>SUMIF('study area'!$A$4:$A$94,A50,'study area'!$F$4:$F$94)</f>
        <v>1673112</v>
      </c>
      <c r="J50" s="19">
        <f>SUMIF('study area'!$A$4:$A$94,A50,'study area'!$I$4:$I$94)</f>
        <v>0</v>
      </c>
      <c r="K50" s="19">
        <f>SUMIF('study area'!$A$4:$A$94,A50,'study area'!$J$4:$J$94)</f>
        <v>0</v>
      </c>
    </row>
    <row r="51" spans="1:11" ht="12.75">
      <c r="A51" s="19" t="s">
        <v>118</v>
      </c>
      <c r="B51" s="34">
        <f>SUMIF('cost benchmark'!$A$13:$A$103,A51,'cost benchmark'!$E$13:$E$103)/SUMIF('cost benchmark'!$A$13:$A$103,A51,'cost benchmark'!$D$13:$D$103)</f>
        <v>33.55</v>
      </c>
      <c r="C51" s="35">
        <f>SUMIF('cost benchmark'!$A$13:$A$103,A51,'cost benchmark'!$D$13:$D$103)</f>
        <v>225950</v>
      </c>
      <c r="D51" s="36">
        <f>'per line'!E55</f>
        <v>0</v>
      </c>
      <c r="E51" s="35">
        <f>SUMIF('cost benchmark'!$A$13:$A$103,A51,'cost benchmark'!$F$13:$F$103)</f>
        <v>4445856</v>
      </c>
      <c r="F51" s="37">
        <f t="shared" si="0"/>
        <v>4445856</v>
      </c>
      <c r="G51" s="38">
        <f t="shared" si="1"/>
        <v>4445856</v>
      </c>
      <c r="H51" s="26">
        <f>SUMIF('study area'!$A$4:$A$94,A51,'study area'!$G$4:$G$94)</f>
        <v>4445856</v>
      </c>
      <c r="I51" s="26">
        <f>SUMIF('study area'!$A$4:$A$94,A51,'study area'!$F$4:$F$94)</f>
        <v>4445856</v>
      </c>
      <c r="J51" s="19">
        <f>SUMIF('study area'!$A$4:$A$94,A51,'study area'!$I$4:$I$94)</f>
        <v>0</v>
      </c>
      <c r="K51" s="19">
        <f>SUMIF('study area'!$A$4:$A$94,A51,'study area'!$J$4:$J$94)</f>
        <v>0</v>
      </c>
    </row>
    <row r="52" spans="1:11" ht="12.75">
      <c r="A52" s="19" t="s">
        <v>121</v>
      </c>
      <c r="B52" s="19"/>
      <c r="C52" s="27">
        <f aca="true" t="shared" si="2" ref="C52:J52">SUM(C2:C51)</f>
        <v>149084110</v>
      </c>
      <c r="D52" s="38">
        <f t="shared" si="2"/>
        <v>0</v>
      </c>
      <c r="E52" s="26">
        <f t="shared" si="2"/>
        <v>83483016</v>
      </c>
      <c r="F52" s="38">
        <f t="shared" si="2"/>
        <v>83483016</v>
      </c>
      <c r="G52" s="38">
        <f t="shared" si="2"/>
        <v>83483016</v>
      </c>
      <c r="H52" s="27">
        <f t="shared" si="2"/>
        <v>83483016</v>
      </c>
      <c r="I52" s="26">
        <f t="shared" si="2"/>
        <v>83483016</v>
      </c>
      <c r="J52" s="19">
        <f t="shared" si="2"/>
        <v>0</v>
      </c>
      <c r="K52" s="19">
        <f>SUMIF('study area'!$A$4:$A$94,A52,'study area'!$J$4:$J$94)</f>
        <v>0</v>
      </c>
    </row>
    <row r="53" spans="1:11" ht="12.75">
      <c r="A53" s="19" t="s">
        <v>122</v>
      </c>
      <c r="B53" s="19"/>
      <c r="C53" s="19"/>
      <c r="D53" s="19"/>
      <c r="E53" s="26"/>
      <c r="F53" s="37">
        <f t="shared" si="0"/>
        <v>0</v>
      </c>
      <c r="G53" s="19"/>
      <c r="H53" s="19"/>
      <c r="I53" s="19">
        <v>0</v>
      </c>
      <c r="J53" s="19"/>
      <c r="K53" s="19"/>
    </row>
    <row r="54" spans="1:11" ht="12.75">
      <c r="A54" s="19" t="s">
        <v>123</v>
      </c>
      <c r="B54" s="19"/>
      <c r="C54" s="19"/>
      <c r="D54" s="19"/>
      <c r="E54" s="39">
        <v>136415172</v>
      </c>
      <c r="F54" s="37">
        <f t="shared" si="0"/>
        <v>136415172</v>
      </c>
      <c r="G54" s="38">
        <f>F54+D54</f>
        <v>136415172</v>
      </c>
      <c r="H54" s="38">
        <f>F54</f>
        <v>136415172</v>
      </c>
      <c r="I54" s="38">
        <f>G54</f>
        <v>136415172</v>
      </c>
      <c r="J54" s="19"/>
      <c r="K54" s="19"/>
    </row>
    <row r="55" spans="1:11" ht="12.75">
      <c r="A55" s="19" t="s">
        <v>121</v>
      </c>
      <c r="B55" s="19"/>
      <c r="C55" s="19"/>
      <c r="D55" s="19"/>
      <c r="E55" s="26">
        <f>E54+E53+E52</f>
        <v>219898188</v>
      </c>
      <c r="F55" s="26">
        <f>F54+F53+F52</f>
        <v>219898188</v>
      </c>
      <c r="G55" s="26">
        <f>G54+G53+G52</f>
        <v>219898188</v>
      </c>
      <c r="H55" s="26">
        <f>H54+H53+H52</f>
        <v>219898188</v>
      </c>
      <c r="I55" s="38">
        <f>I54+I53+I52</f>
        <v>219898188</v>
      </c>
      <c r="J55" s="19"/>
      <c r="K55" s="19"/>
    </row>
  </sheetData>
  <printOptions horizontalCentered="1" verticalCentered="1"/>
  <pageMargins left="0.75" right="0.75" top="1" bottom="1" header="0.5" footer="0.5"/>
  <pageSetup horizontalDpi="600" verticalDpi="600" orientation="landscape" pageOrder="overThenDown" r:id="rId1"/>
  <headerFooter alignWithMargins="0">
    <oddHeader>&amp;C&amp;"Arial,Bold"&amp;12State Support Worksheet</oddHeader>
    <oddFooter>&amp;L&amp;D &amp;T &amp;CPage &amp;P of &amp;N&amp;R&amp;F</oddFooter>
  </headerFooter>
</worksheet>
</file>

<file path=xl/worksheets/sheet4.xml><?xml version="1.0" encoding="utf-8"?>
<worksheet xmlns="http://schemas.openxmlformats.org/spreadsheetml/2006/main" xmlns:r="http://schemas.openxmlformats.org/officeDocument/2006/relationships">
  <dimension ref="A1:M101"/>
  <sheetViews>
    <sheetView workbookViewId="0" topLeftCell="A1">
      <selection activeCell="F4" sqref="F4"/>
    </sheetView>
  </sheetViews>
  <sheetFormatPr defaultColWidth="9.140625" defaultRowHeight="12.75"/>
  <cols>
    <col min="1" max="1" width="9.140625" style="18" customWidth="1"/>
    <col min="2" max="2" width="39.421875" style="0" customWidth="1"/>
    <col min="3" max="3" width="16.140625" style="0" customWidth="1"/>
    <col min="4" max="4" width="14.7109375" style="0" customWidth="1"/>
    <col min="5" max="5" width="12.00390625" style="0" customWidth="1"/>
    <col min="6" max="6" width="13.8515625" style="0" bestFit="1" customWidth="1"/>
    <col min="7" max="7" width="12.57421875" style="0" customWidth="1"/>
    <col min="8" max="8" width="14.57421875" style="0" customWidth="1"/>
    <col min="9" max="10" width="13.00390625" style="0" customWidth="1"/>
    <col min="11" max="11" width="14.57421875" style="0" customWidth="1"/>
    <col min="12" max="13" width="14.00390625" style="0" customWidth="1"/>
  </cols>
  <sheetData>
    <row r="1" ht="12.75">
      <c r="A1" s="52" t="s">
        <v>192</v>
      </c>
    </row>
    <row r="2" ht="12.75">
      <c r="A2" s="53" t="s">
        <v>193</v>
      </c>
    </row>
    <row r="3" spans="1:13" s="18" customFormat="1" ht="51">
      <c r="A3" s="4" t="s">
        <v>4</v>
      </c>
      <c r="B3" s="20" t="s">
        <v>126</v>
      </c>
      <c r="C3" s="21" t="s">
        <v>135</v>
      </c>
      <c r="D3" s="21" t="s">
        <v>133</v>
      </c>
      <c r="E3" s="21" t="s">
        <v>134</v>
      </c>
      <c r="F3" s="21" t="s">
        <v>136</v>
      </c>
      <c r="G3" s="21" t="s">
        <v>127</v>
      </c>
      <c r="H3" s="21" t="s">
        <v>128</v>
      </c>
      <c r="I3" s="22" t="s">
        <v>129</v>
      </c>
      <c r="J3" s="22" t="s">
        <v>130</v>
      </c>
      <c r="K3" s="22" t="s">
        <v>131</v>
      </c>
      <c r="L3" s="23" t="s">
        <v>191</v>
      </c>
      <c r="M3" s="21" t="s">
        <v>132</v>
      </c>
    </row>
    <row r="4" spans="1:13" ht="12.75">
      <c r="A4" s="24" t="s">
        <v>7</v>
      </c>
      <c r="B4" s="25" t="s">
        <v>162</v>
      </c>
      <c r="C4" s="26">
        <f>'cost benchmark'!P13</f>
        <v>0</v>
      </c>
      <c r="D4" s="26">
        <f>'cost benchmark'!Q13*VLOOKUP(A4,'per line'!$A$6:$E$55,5,FALSE)</f>
        <v>0</v>
      </c>
      <c r="E4" s="26">
        <f>'cost benchmark'!F13</f>
        <v>4359444</v>
      </c>
      <c r="F4" s="27">
        <f>MAX(D4,E4)</f>
        <v>4359444</v>
      </c>
      <c r="G4" s="26">
        <f>IF(E4&gt;D4,E4-D4,0)</f>
        <v>4359444</v>
      </c>
      <c r="H4" s="26">
        <f>IF(VLOOKUP(A4,state!$A$2:$G$55,4,FALSE)=VLOOKUP(A4,state!$A$2:$G$55,7,FALSE),D4,0)</f>
        <v>0</v>
      </c>
      <c r="I4" s="26">
        <f>IF(AND(D4&gt;E4,VLOOKUP(A4,state!$A$2:$G$55,5,FALSE)=VLOOKUP(A4,state!$A$2:$G$55,7,FALSE)),D4,0)</f>
        <v>0</v>
      </c>
      <c r="J4" s="26">
        <f>IF(AND(D4&gt;E4,VLOOKUP(A4,state!$A$2:$G$55,5,FALSE)=VLOOKUP(A4,state!$A$2:$G$55,7,FALSE)),E4,0)</f>
        <v>0</v>
      </c>
      <c r="K4" s="26">
        <f>IF(AND(I4=0,VLOOKUP(A4,state!$A$2:$G$55,6,FALSE)&gt;0,VLOOKUP(A4,state!$A$2:$G$55,5,FALSE)=VLOOKUP(A4,state!$A$2:$G$55,7,FALSE)),(VLOOKUP(A4,state!$A$2:$J$55,7,FALSE)-VLOOKUP(A4,state!$A$2:$J$55,10,FALSE))*E4/(VLOOKUP(A4,state!$A$2:$J$55,7,FALSE)-VLOOKUP(A4,state!$A$2:$K$55,11,FALSE)),0)</f>
        <v>4359444</v>
      </c>
      <c r="L4" s="27">
        <f>K4+I4+H4</f>
        <v>4359444</v>
      </c>
      <c r="M4" s="27">
        <f>F4-L4</f>
        <v>0</v>
      </c>
    </row>
    <row r="5" spans="1:13" ht="12.75">
      <c r="A5" s="24" t="s">
        <v>7</v>
      </c>
      <c r="B5" s="25" t="s">
        <v>153</v>
      </c>
      <c r="C5" s="26">
        <f>'cost benchmark'!P14</f>
        <v>0</v>
      </c>
      <c r="D5" s="26">
        <f>'cost benchmark'!Q14*VLOOKUP(A5,'per line'!$A$6:$E$55,5,FALSE)</f>
        <v>0</v>
      </c>
      <c r="E5" s="26">
        <f>'cost benchmark'!F14</f>
        <v>7099392</v>
      </c>
      <c r="F5" s="27">
        <f aca="true" t="shared" si="0" ref="F5:F68">MAX(D5,E5)</f>
        <v>7099392</v>
      </c>
      <c r="G5" s="26">
        <f aca="true" t="shared" si="1" ref="G5:G68">IF(E5&gt;D5,E5-D5,0)</f>
        <v>7099392</v>
      </c>
      <c r="H5" s="26">
        <f>IF(VLOOKUP(A5,state!$A$2:$G$55,4,FALSE)=VLOOKUP(A5,state!$A$2:$G$55,7,FALSE),D5,0)</f>
        <v>0</v>
      </c>
      <c r="I5" s="26">
        <f>IF(AND(D5&gt;E5,VLOOKUP(A5,state!$A$2:$G$55,5,FALSE)=VLOOKUP(A5,state!$A$2:$G$55,7,FALSE)),D5,0)</f>
        <v>0</v>
      </c>
      <c r="J5" s="26">
        <f>IF(AND(D5&gt;E5,VLOOKUP(A5,state!$A$2:$G$55,5,FALSE)=VLOOKUP(A5,state!$A$2:$G$55,7,FALSE)),E5,0)</f>
        <v>0</v>
      </c>
      <c r="K5" s="26">
        <f>IF(AND(I5=0,VLOOKUP(A5,state!$A$2:$G$55,6,FALSE)&gt;0,VLOOKUP(A5,state!$A$2:$G$55,5,FALSE)=VLOOKUP(A5,state!$A$2:$G$55,7,FALSE)),(VLOOKUP(A5,state!$A$2:$J$55,7,FALSE)-VLOOKUP(A5,state!$A$2:$J$55,10,FALSE))*E5/(VLOOKUP(A5,state!$A$2:$J$55,7,FALSE)-VLOOKUP(A5,state!$A$2:$K$55,11,FALSE)),0)</f>
        <v>7099392</v>
      </c>
      <c r="L5" s="27">
        <f aca="true" t="shared" si="2" ref="L5:L68">K5+I5+H5</f>
        <v>7099392</v>
      </c>
      <c r="M5" s="27">
        <f aca="true" t="shared" si="3" ref="M5:M68">F5-L5</f>
        <v>0</v>
      </c>
    </row>
    <row r="6" spans="1:13" ht="12.75">
      <c r="A6" s="24" t="s">
        <v>7</v>
      </c>
      <c r="B6" s="25" t="s">
        <v>8</v>
      </c>
      <c r="C6" s="26">
        <f>'cost benchmark'!P15</f>
        <v>0</v>
      </c>
      <c r="D6" s="26">
        <f>'cost benchmark'!Q15*VLOOKUP(A6,'per line'!$A$6:$E$55,5,FALSE)</f>
        <v>0</v>
      </c>
      <c r="E6" s="26">
        <f>'cost benchmark'!F15</f>
        <v>0</v>
      </c>
      <c r="F6" s="27">
        <f t="shared" si="0"/>
        <v>0</v>
      </c>
      <c r="G6" s="26">
        <f t="shared" si="1"/>
        <v>0</v>
      </c>
      <c r="H6" s="26">
        <f>IF(VLOOKUP(A6,state!$A$2:$G$55,4,FALSE)=VLOOKUP(A6,state!$A$2:$G$55,7,FALSE),D6,0)</f>
        <v>0</v>
      </c>
      <c r="I6" s="26">
        <f>IF(AND(D6&gt;E6,VLOOKUP(A6,state!$A$2:$G$55,5,FALSE)=VLOOKUP(A6,state!$A$2:$G$55,7,FALSE)),D6,0)</f>
        <v>0</v>
      </c>
      <c r="J6" s="26">
        <f>IF(AND(D6&gt;E6,VLOOKUP(A6,state!$A$2:$G$55,5,FALSE)=VLOOKUP(A6,state!$A$2:$G$55,7,FALSE)),E6,0)</f>
        <v>0</v>
      </c>
      <c r="K6" s="26">
        <f>IF(AND(I6=0,VLOOKUP(A6,state!$A$2:$G$55,6,FALSE)&gt;0,VLOOKUP(A6,state!$A$2:$G$55,5,FALSE)=VLOOKUP(A6,state!$A$2:$G$55,7,FALSE)),(VLOOKUP(A6,state!$A$2:$J$55,7,FALSE)-VLOOKUP(A6,state!$A$2:$J$55,10,FALSE))*E6/(VLOOKUP(A6,state!$A$2:$J$55,7,FALSE)-VLOOKUP(A6,state!$A$2:$K$55,11,FALSE)),0)</f>
        <v>0</v>
      </c>
      <c r="L6" s="27">
        <f t="shared" si="2"/>
        <v>0</v>
      </c>
      <c r="M6" s="27">
        <f t="shared" si="3"/>
        <v>0</v>
      </c>
    </row>
    <row r="7" spans="1:13" ht="12.75">
      <c r="A7" s="24" t="s">
        <v>9</v>
      </c>
      <c r="B7" s="25" t="s">
        <v>10</v>
      </c>
      <c r="C7" s="26">
        <f>'cost benchmark'!P16</f>
        <v>0</v>
      </c>
      <c r="D7" s="26">
        <f>'cost benchmark'!Q16*VLOOKUP(A7,'per line'!$A$6:$E$55,5,FALSE)</f>
        <v>0</v>
      </c>
      <c r="E7" s="26">
        <f>'cost benchmark'!F16</f>
        <v>3984924</v>
      </c>
      <c r="F7" s="27">
        <f t="shared" si="0"/>
        <v>3984924</v>
      </c>
      <c r="G7" s="26">
        <f t="shared" si="1"/>
        <v>3984924</v>
      </c>
      <c r="H7" s="26">
        <f>IF(VLOOKUP(A7,state!$A$2:$G$55,4,FALSE)=VLOOKUP(A7,state!$A$2:$G$55,7,FALSE),D7,0)</f>
        <v>0</v>
      </c>
      <c r="I7" s="26">
        <f>IF(AND(D7&gt;E7,VLOOKUP(A7,state!$A$2:$G$55,5,FALSE)=VLOOKUP(A7,state!$A$2:$G$55,7,FALSE)),D7,0)</f>
        <v>0</v>
      </c>
      <c r="J7" s="26">
        <f>IF(AND(D7&gt;E7,VLOOKUP(A7,state!$A$2:$G$55,5,FALSE)=VLOOKUP(A7,state!$A$2:$G$55,7,FALSE)),E7,0)</f>
        <v>0</v>
      </c>
      <c r="K7" s="26">
        <f>IF(AND(I7=0,VLOOKUP(A7,state!$A$2:$G$55,6,FALSE)&gt;0,VLOOKUP(A7,state!$A$2:$G$55,5,FALSE)=VLOOKUP(A7,state!$A$2:$G$55,7,FALSE)),(VLOOKUP(A7,state!$A$2:$J$55,7,FALSE)-VLOOKUP(A7,state!$A$2:$J$55,10,FALSE))*E7/(VLOOKUP(A7,state!$A$2:$J$55,7,FALSE)-VLOOKUP(A7,state!$A$2:$K$55,11,FALSE)),0)</f>
        <v>3984924</v>
      </c>
      <c r="L7" s="27">
        <f t="shared" si="2"/>
        <v>3984924</v>
      </c>
      <c r="M7" s="27">
        <f t="shared" si="3"/>
        <v>0</v>
      </c>
    </row>
    <row r="8" spans="1:13" ht="12.75">
      <c r="A8" s="24" t="s">
        <v>11</v>
      </c>
      <c r="B8" s="25" t="s">
        <v>12</v>
      </c>
      <c r="C8" s="26">
        <f>'cost benchmark'!P17</f>
        <v>0</v>
      </c>
      <c r="D8" s="26">
        <f>'cost benchmark'!Q17*VLOOKUP(A8,'per line'!$A$6:$E$55,5,FALSE)</f>
        <v>0</v>
      </c>
      <c r="E8" s="26">
        <f>'cost benchmark'!F17</f>
        <v>2417928</v>
      </c>
      <c r="F8" s="27">
        <f t="shared" si="0"/>
        <v>2417928</v>
      </c>
      <c r="G8" s="26">
        <f t="shared" si="1"/>
        <v>2417928</v>
      </c>
      <c r="H8" s="26">
        <f>IF(VLOOKUP(A8,state!$A$2:$G$55,4,FALSE)=VLOOKUP(A8,state!$A$2:$G$55,7,FALSE),D8,0)</f>
        <v>0</v>
      </c>
      <c r="I8" s="26">
        <f>IF(AND(D8&gt;E8,VLOOKUP(A8,state!$A$2:$G$55,5,FALSE)=VLOOKUP(A8,state!$A$2:$G$55,7,FALSE)),D8,0)</f>
        <v>0</v>
      </c>
      <c r="J8" s="26">
        <f>IF(AND(D8&gt;E8,VLOOKUP(A8,state!$A$2:$G$55,5,FALSE)=VLOOKUP(A8,state!$A$2:$G$55,7,FALSE)),E8,0)</f>
        <v>0</v>
      </c>
      <c r="K8" s="26">
        <f>IF(AND(I8=0,VLOOKUP(A8,state!$A$2:$G$55,6,FALSE)&gt;0,VLOOKUP(A8,state!$A$2:$G$55,5,FALSE)=VLOOKUP(A8,state!$A$2:$G$55,7,FALSE)),(VLOOKUP(A8,state!$A$2:$J$55,7,FALSE)-VLOOKUP(A8,state!$A$2:$J$55,10,FALSE))*E8/(VLOOKUP(A8,state!$A$2:$J$55,7,FALSE)-VLOOKUP(A8,state!$A$2:$K$55,11,FALSE)),0)</f>
        <v>2417928</v>
      </c>
      <c r="L8" s="27">
        <f t="shared" si="2"/>
        <v>2417928</v>
      </c>
      <c r="M8" s="27">
        <f t="shared" si="3"/>
        <v>0</v>
      </c>
    </row>
    <row r="9" spans="1:13" ht="12.75">
      <c r="A9" s="24" t="s">
        <v>13</v>
      </c>
      <c r="B9" s="25" t="s">
        <v>14</v>
      </c>
      <c r="C9" s="26">
        <f>'cost benchmark'!P18</f>
        <v>0</v>
      </c>
      <c r="D9" s="26">
        <f>'cost benchmark'!Q18*VLOOKUP(A9,'per line'!$A$6:$E$55,5,FALSE)</f>
        <v>0</v>
      </c>
      <c r="E9" s="26">
        <f>'cost benchmark'!F18</f>
        <v>154140</v>
      </c>
      <c r="F9" s="27">
        <f t="shared" si="0"/>
        <v>154140</v>
      </c>
      <c r="G9" s="26">
        <f t="shared" si="1"/>
        <v>154140</v>
      </c>
      <c r="H9" s="26">
        <f>IF(VLOOKUP(A9,state!$A$2:$G$55,4,FALSE)=VLOOKUP(A9,state!$A$2:$G$55,7,FALSE),D9,0)</f>
        <v>0</v>
      </c>
      <c r="I9" s="26">
        <f>IF(AND(D9&gt;E9,VLOOKUP(A9,state!$A$2:$G$55,5,FALSE)=VLOOKUP(A9,state!$A$2:$G$55,7,FALSE)),D9,0)</f>
        <v>0</v>
      </c>
      <c r="J9" s="26">
        <f>IF(AND(D9&gt;E9,VLOOKUP(A9,state!$A$2:$G$55,5,FALSE)=VLOOKUP(A9,state!$A$2:$G$55,7,FALSE)),E9,0)</f>
        <v>0</v>
      </c>
      <c r="K9" s="26">
        <f>IF(AND(I9=0,VLOOKUP(A9,state!$A$2:$G$55,6,FALSE)&gt;0,VLOOKUP(A9,state!$A$2:$G$55,5,FALSE)=VLOOKUP(A9,state!$A$2:$G$55,7,FALSE)),(VLOOKUP(A9,state!$A$2:$J$55,7,FALSE)-VLOOKUP(A9,state!$A$2:$J$55,10,FALSE))*E9/(VLOOKUP(A9,state!$A$2:$J$55,7,FALSE)-VLOOKUP(A9,state!$A$2:$K$55,11,FALSE)),0)</f>
        <v>154140</v>
      </c>
      <c r="L9" s="27">
        <f t="shared" si="2"/>
        <v>154140</v>
      </c>
      <c r="M9" s="27">
        <f t="shared" si="3"/>
        <v>0</v>
      </c>
    </row>
    <row r="10" spans="1:13" ht="12.75">
      <c r="A10" s="24" t="s">
        <v>13</v>
      </c>
      <c r="B10" s="25" t="s">
        <v>154</v>
      </c>
      <c r="C10" s="26">
        <f>'cost benchmark'!P19</f>
        <v>0</v>
      </c>
      <c r="D10" s="26">
        <f>'cost benchmark'!Q19*VLOOKUP(A10,'per line'!$A$6:$E$55,5,FALSE)</f>
        <v>0</v>
      </c>
      <c r="E10" s="26">
        <f>'cost benchmark'!F19</f>
        <v>0</v>
      </c>
      <c r="F10" s="27">
        <f t="shared" si="0"/>
        <v>0</v>
      </c>
      <c r="G10" s="26">
        <f t="shared" si="1"/>
        <v>0</v>
      </c>
      <c r="H10" s="26">
        <f>IF(VLOOKUP(A10,state!$A$2:$G$55,4,FALSE)=VLOOKUP(A10,state!$A$2:$G$55,7,FALSE),D10,0)</f>
        <v>0</v>
      </c>
      <c r="I10" s="26">
        <f>IF(AND(D10&gt;E10,VLOOKUP(A10,state!$A$2:$G$55,5,FALSE)=VLOOKUP(A10,state!$A$2:$G$55,7,FALSE)),D10,0)</f>
        <v>0</v>
      </c>
      <c r="J10" s="26">
        <f>IF(AND(D10&gt;E10,VLOOKUP(A10,state!$A$2:$G$55,5,FALSE)=VLOOKUP(A10,state!$A$2:$G$55,7,FALSE)),E10,0)</f>
        <v>0</v>
      </c>
      <c r="K10" s="26">
        <f>IF(AND(I10=0,VLOOKUP(A10,state!$A$2:$G$55,6,FALSE)&gt;0,VLOOKUP(A10,state!$A$2:$G$55,5,FALSE)=VLOOKUP(A10,state!$A$2:$G$55,7,FALSE)),(VLOOKUP(A10,state!$A$2:$J$55,7,FALSE)-VLOOKUP(A10,state!$A$2:$J$55,10,FALSE))*E10/(VLOOKUP(A10,state!$A$2:$J$55,7,FALSE)-VLOOKUP(A10,state!$A$2:$K$55,11,FALSE)),0)</f>
        <v>0</v>
      </c>
      <c r="L10" s="27">
        <f t="shared" si="2"/>
        <v>0</v>
      </c>
      <c r="M10" s="27">
        <f t="shared" si="3"/>
        <v>0</v>
      </c>
    </row>
    <row r="11" spans="1:13" ht="12.75">
      <c r="A11" s="24" t="s">
        <v>13</v>
      </c>
      <c r="B11" s="25" t="s">
        <v>15</v>
      </c>
      <c r="C11" s="26">
        <f>'cost benchmark'!P20</f>
        <v>0</v>
      </c>
      <c r="D11" s="26">
        <f>'cost benchmark'!Q20*VLOOKUP(A11,'per line'!$A$6:$E$55,5,FALSE)</f>
        <v>0</v>
      </c>
      <c r="E11" s="26">
        <f>'cost benchmark'!F20</f>
        <v>0</v>
      </c>
      <c r="F11" s="27">
        <f t="shared" si="0"/>
        <v>0</v>
      </c>
      <c r="G11" s="26">
        <f t="shared" si="1"/>
        <v>0</v>
      </c>
      <c r="H11" s="26">
        <f>IF(VLOOKUP(A11,state!$A$2:$G$55,4,FALSE)=VLOOKUP(A11,state!$A$2:$G$55,7,FALSE),D11,0)</f>
        <v>0</v>
      </c>
      <c r="I11" s="26">
        <f>IF(AND(D11&gt;E11,VLOOKUP(A11,state!$A$2:$G$55,5,FALSE)=VLOOKUP(A11,state!$A$2:$G$55,7,FALSE)),D11,0)</f>
        <v>0</v>
      </c>
      <c r="J11" s="26">
        <f>IF(AND(D11&gt;E11,VLOOKUP(A11,state!$A$2:$G$55,5,FALSE)=VLOOKUP(A11,state!$A$2:$G$55,7,FALSE)),E11,0)</f>
        <v>0</v>
      </c>
      <c r="K11" s="26">
        <f>IF(AND(I11=0,VLOOKUP(A11,state!$A$2:$G$55,6,FALSE)&gt;0,VLOOKUP(A11,state!$A$2:$G$55,5,FALSE)=VLOOKUP(A11,state!$A$2:$G$55,7,FALSE)),(VLOOKUP(A11,state!$A$2:$J$55,7,FALSE)-VLOOKUP(A11,state!$A$2:$J$55,10,FALSE))*E11/(VLOOKUP(A11,state!$A$2:$J$55,7,FALSE)-VLOOKUP(A11,state!$A$2:$K$55,11,FALSE)),0)</f>
        <v>0</v>
      </c>
      <c r="L11" s="27">
        <f t="shared" si="2"/>
        <v>0</v>
      </c>
      <c r="M11" s="27">
        <f t="shared" si="3"/>
        <v>0</v>
      </c>
    </row>
    <row r="12" spans="1:13" ht="12.75">
      <c r="A12" s="24" t="s">
        <v>13</v>
      </c>
      <c r="B12" s="25" t="s">
        <v>16</v>
      </c>
      <c r="C12" s="26">
        <f>'cost benchmark'!P21</f>
        <v>0</v>
      </c>
      <c r="D12" s="26">
        <f>'cost benchmark'!Q21*VLOOKUP(A12,'per line'!$A$6:$E$55,5,FALSE)</f>
        <v>0</v>
      </c>
      <c r="E12" s="26">
        <f>'cost benchmark'!F21</f>
        <v>6196488</v>
      </c>
      <c r="F12" s="27">
        <f t="shared" si="0"/>
        <v>6196488</v>
      </c>
      <c r="G12" s="26">
        <f t="shared" si="1"/>
        <v>6196488</v>
      </c>
      <c r="H12" s="26">
        <f>IF(VLOOKUP(A12,state!$A$2:$G$55,4,FALSE)=VLOOKUP(A12,state!$A$2:$G$55,7,FALSE),D12,0)</f>
        <v>0</v>
      </c>
      <c r="I12" s="26">
        <f>IF(AND(D12&gt;E12,VLOOKUP(A12,state!$A$2:$G$55,5,FALSE)=VLOOKUP(A12,state!$A$2:$G$55,7,FALSE)),D12,0)</f>
        <v>0</v>
      </c>
      <c r="J12" s="26">
        <f>IF(AND(D12&gt;E12,VLOOKUP(A12,state!$A$2:$G$55,5,FALSE)=VLOOKUP(A12,state!$A$2:$G$55,7,FALSE)),E12,0)</f>
        <v>0</v>
      </c>
      <c r="K12" s="26">
        <f>IF(AND(I12=0,VLOOKUP(A12,state!$A$2:$G$55,6,FALSE)&gt;0,VLOOKUP(A12,state!$A$2:$G$55,5,FALSE)=VLOOKUP(A12,state!$A$2:$G$55,7,FALSE)),(VLOOKUP(A12,state!$A$2:$J$55,7,FALSE)-VLOOKUP(A12,state!$A$2:$J$55,10,FALSE))*E12/(VLOOKUP(A12,state!$A$2:$J$55,7,FALSE)-VLOOKUP(A12,state!$A$2:$K$55,11,FALSE)),0)</f>
        <v>6196488</v>
      </c>
      <c r="L12" s="27">
        <f t="shared" si="2"/>
        <v>6196488</v>
      </c>
      <c r="M12" s="27">
        <f t="shared" si="3"/>
        <v>0</v>
      </c>
    </row>
    <row r="13" spans="1:13" ht="12.75">
      <c r="A13" s="24" t="s">
        <v>17</v>
      </c>
      <c r="B13" s="25" t="s">
        <v>18</v>
      </c>
      <c r="C13" s="26">
        <f>'cost benchmark'!P22</f>
        <v>0</v>
      </c>
      <c r="D13" s="26">
        <f>'cost benchmark'!Q22*VLOOKUP(A13,'per line'!$A$6:$E$55,5,FALSE)</f>
        <v>0</v>
      </c>
      <c r="E13" s="26">
        <f>'cost benchmark'!F22</f>
        <v>2505660</v>
      </c>
      <c r="F13" s="27">
        <f t="shared" si="0"/>
        <v>2505660</v>
      </c>
      <c r="G13" s="26">
        <f t="shared" si="1"/>
        <v>2505660</v>
      </c>
      <c r="H13" s="26">
        <f>IF(VLOOKUP(A13,state!$A$2:$G$55,4,FALSE)=VLOOKUP(A13,state!$A$2:$G$55,7,FALSE),D13,0)</f>
        <v>0</v>
      </c>
      <c r="I13" s="26">
        <f>IF(AND(D13&gt;E13,VLOOKUP(A13,state!$A$2:$G$55,5,FALSE)=VLOOKUP(A13,state!$A$2:$G$55,7,FALSE)),D13,0)</f>
        <v>0</v>
      </c>
      <c r="J13" s="26">
        <f>IF(AND(D13&gt;E13,VLOOKUP(A13,state!$A$2:$G$55,5,FALSE)=VLOOKUP(A13,state!$A$2:$G$55,7,FALSE)),E13,0)</f>
        <v>0</v>
      </c>
      <c r="K13" s="26">
        <f>IF(AND(I13=0,VLOOKUP(A13,state!$A$2:$G$55,6,FALSE)&gt;0,VLOOKUP(A13,state!$A$2:$G$55,5,FALSE)=VLOOKUP(A13,state!$A$2:$G$55,7,FALSE)),(VLOOKUP(A13,state!$A$2:$J$55,7,FALSE)-VLOOKUP(A13,state!$A$2:$J$55,10,FALSE))*E13/(VLOOKUP(A13,state!$A$2:$J$55,7,FALSE)-VLOOKUP(A13,state!$A$2:$K$55,11,FALSE)),0)</f>
        <v>2505660</v>
      </c>
      <c r="L13" s="27">
        <f t="shared" si="2"/>
        <v>2505660</v>
      </c>
      <c r="M13" s="27">
        <f t="shared" si="3"/>
        <v>0</v>
      </c>
    </row>
    <row r="14" spans="1:13" ht="12.75">
      <c r="A14" s="24" t="s">
        <v>19</v>
      </c>
      <c r="B14" s="25" t="s">
        <v>20</v>
      </c>
      <c r="C14" s="26">
        <f>'cost benchmark'!P23</f>
        <v>0</v>
      </c>
      <c r="D14" s="26">
        <f>'cost benchmark'!Q23*VLOOKUP(A14,'per line'!$A$6:$E$55,5,FALSE)</f>
        <v>0</v>
      </c>
      <c r="E14" s="26">
        <f>'cost benchmark'!F23</f>
        <v>0</v>
      </c>
      <c r="F14" s="27">
        <f t="shared" si="0"/>
        <v>0</v>
      </c>
      <c r="G14" s="26">
        <f t="shared" si="1"/>
        <v>0</v>
      </c>
      <c r="H14" s="26">
        <f>IF(VLOOKUP(A14,state!$A$2:$G$55,4,FALSE)=VLOOKUP(A14,state!$A$2:$G$55,7,FALSE),D14,0)</f>
        <v>0</v>
      </c>
      <c r="I14" s="26">
        <f>IF(AND(D14&gt;E14,VLOOKUP(A14,state!$A$2:$G$55,5,FALSE)=VLOOKUP(A14,state!$A$2:$G$55,7,FALSE)),D14,0)</f>
        <v>0</v>
      </c>
      <c r="J14" s="26">
        <f>IF(AND(D14&gt;E14,VLOOKUP(A14,state!$A$2:$G$55,5,FALSE)=VLOOKUP(A14,state!$A$2:$G$55,7,FALSE)),E14,0)</f>
        <v>0</v>
      </c>
      <c r="K14" s="26">
        <f>IF(AND(I14=0,VLOOKUP(A14,state!$A$2:$G$55,6,FALSE)&gt;0,VLOOKUP(A14,state!$A$2:$G$55,5,FALSE)=VLOOKUP(A14,state!$A$2:$G$55,7,FALSE)),(VLOOKUP(A14,state!$A$2:$J$55,7,FALSE)-VLOOKUP(A14,state!$A$2:$J$55,10,FALSE))*E14/(VLOOKUP(A14,state!$A$2:$J$55,7,FALSE)-VLOOKUP(A14,state!$A$2:$K$55,11,FALSE)),0)</f>
        <v>0</v>
      </c>
      <c r="L14" s="27">
        <f t="shared" si="2"/>
        <v>0</v>
      </c>
      <c r="M14" s="27">
        <f t="shared" si="3"/>
        <v>0</v>
      </c>
    </row>
    <row r="15" spans="1:13" ht="12.75">
      <c r="A15" s="24" t="s">
        <v>21</v>
      </c>
      <c r="B15" s="25" t="s">
        <v>137</v>
      </c>
      <c r="C15" s="26">
        <f>'cost benchmark'!P24</f>
        <v>0</v>
      </c>
      <c r="D15" s="26">
        <f>'cost benchmark'!Q24*VLOOKUP(A15,'per line'!$A$6:$E$55,5,FALSE)</f>
        <v>0</v>
      </c>
      <c r="E15" s="26">
        <f>'cost benchmark'!F24</f>
        <v>0</v>
      </c>
      <c r="F15" s="27">
        <f t="shared" si="0"/>
        <v>0</v>
      </c>
      <c r="G15" s="26">
        <f t="shared" si="1"/>
        <v>0</v>
      </c>
      <c r="H15" s="26">
        <f>IF(VLOOKUP(A15,state!$A$2:$G$55,4,FALSE)=VLOOKUP(A15,state!$A$2:$G$55,7,FALSE),D15,0)</f>
        <v>0</v>
      </c>
      <c r="I15" s="26">
        <f>IF(AND(D15&gt;E15,VLOOKUP(A15,state!$A$2:$G$55,5,FALSE)=VLOOKUP(A15,state!$A$2:$G$55,7,FALSE)),D15,0)</f>
        <v>0</v>
      </c>
      <c r="J15" s="26">
        <f>IF(AND(D15&gt;E15,VLOOKUP(A15,state!$A$2:$G$55,5,FALSE)=VLOOKUP(A15,state!$A$2:$G$55,7,FALSE)),E15,0)</f>
        <v>0</v>
      </c>
      <c r="K15" s="26">
        <f>IF(AND(I15=0,VLOOKUP(A15,state!$A$2:$G$55,6,FALSE)&gt;0,VLOOKUP(A15,state!$A$2:$G$55,5,FALSE)=VLOOKUP(A15,state!$A$2:$G$55,7,FALSE)),(VLOOKUP(A15,state!$A$2:$J$55,7,FALSE)-VLOOKUP(A15,state!$A$2:$J$55,10,FALSE))*E15/(VLOOKUP(A15,state!$A$2:$J$55,7,FALSE)-VLOOKUP(A15,state!$A$2:$K$55,11,FALSE)),0)</f>
        <v>0</v>
      </c>
      <c r="L15" s="27">
        <f t="shared" si="2"/>
        <v>0</v>
      </c>
      <c r="M15" s="27">
        <f t="shared" si="3"/>
        <v>0</v>
      </c>
    </row>
    <row r="16" spans="1:13" ht="12.75">
      <c r="A16" s="24" t="s">
        <v>22</v>
      </c>
      <c r="B16" s="25" t="s">
        <v>23</v>
      </c>
      <c r="C16" s="26">
        <f>'cost benchmark'!P25</f>
        <v>0</v>
      </c>
      <c r="D16" s="26">
        <f>'cost benchmark'!Q25*VLOOKUP(A16,'per line'!$A$6:$E$55,5,FALSE)</f>
        <v>0</v>
      </c>
      <c r="E16" s="26">
        <f>'cost benchmark'!F25</f>
        <v>0</v>
      </c>
      <c r="F16" s="27">
        <f t="shared" si="0"/>
        <v>0</v>
      </c>
      <c r="G16" s="26">
        <f t="shared" si="1"/>
        <v>0</v>
      </c>
      <c r="H16" s="26">
        <f>IF(VLOOKUP(A16,state!$A$2:$G$55,4,FALSE)=VLOOKUP(A16,state!$A$2:$G$55,7,FALSE),D16,0)</f>
        <v>0</v>
      </c>
      <c r="I16" s="26">
        <f>IF(AND(D16&gt;E16,VLOOKUP(A16,state!$A$2:$G$55,5,FALSE)=VLOOKUP(A16,state!$A$2:$G$55,7,FALSE)),D16,0)</f>
        <v>0</v>
      </c>
      <c r="J16" s="26">
        <f>IF(AND(D16&gt;E16,VLOOKUP(A16,state!$A$2:$G$55,5,FALSE)=VLOOKUP(A16,state!$A$2:$G$55,7,FALSE)),E16,0)</f>
        <v>0</v>
      </c>
      <c r="K16" s="26">
        <f>IF(AND(I16=0,VLOOKUP(A16,state!$A$2:$G$55,6,FALSE)&gt;0,VLOOKUP(A16,state!$A$2:$G$55,5,FALSE)=VLOOKUP(A16,state!$A$2:$G$55,7,FALSE)),(VLOOKUP(A16,state!$A$2:$J$55,7,FALSE)-VLOOKUP(A16,state!$A$2:$J$55,10,FALSE))*E16/(VLOOKUP(A16,state!$A$2:$J$55,7,FALSE)-VLOOKUP(A16,state!$A$2:$K$55,11,FALSE)),0)</f>
        <v>0</v>
      </c>
      <c r="L16" s="27">
        <f t="shared" si="2"/>
        <v>0</v>
      </c>
      <c r="M16" s="27">
        <f t="shared" si="3"/>
        <v>0</v>
      </c>
    </row>
    <row r="17" spans="1:13" ht="12.75">
      <c r="A17" s="24" t="s">
        <v>24</v>
      </c>
      <c r="B17" s="25" t="s">
        <v>163</v>
      </c>
      <c r="C17" s="26">
        <f>'cost benchmark'!P26</f>
        <v>0</v>
      </c>
      <c r="D17" s="26">
        <f>'cost benchmark'!Q26*VLOOKUP(A17,'per line'!$A$6:$E$55,5,FALSE)</f>
        <v>0</v>
      </c>
      <c r="E17" s="26">
        <f>'cost benchmark'!F26</f>
        <v>0</v>
      </c>
      <c r="F17" s="27">
        <f t="shared" si="0"/>
        <v>0</v>
      </c>
      <c r="G17" s="26">
        <f t="shared" si="1"/>
        <v>0</v>
      </c>
      <c r="H17" s="26">
        <f>IF(VLOOKUP(A17,state!$A$2:$G$55,4,FALSE)=VLOOKUP(A17,state!$A$2:$G$55,7,FALSE),D17,0)</f>
        <v>0</v>
      </c>
      <c r="I17" s="26">
        <f>IF(AND(D17&gt;E17,VLOOKUP(A17,state!$A$2:$G$55,5,FALSE)=VLOOKUP(A17,state!$A$2:$G$55,7,FALSE)),D17,0)</f>
        <v>0</v>
      </c>
      <c r="J17" s="26">
        <f>IF(AND(D17&gt;E17,VLOOKUP(A17,state!$A$2:$G$55,5,FALSE)=VLOOKUP(A17,state!$A$2:$G$55,7,FALSE)),E17,0)</f>
        <v>0</v>
      </c>
      <c r="K17" s="26">
        <f>IF(AND(I17=0,VLOOKUP(A17,state!$A$2:$G$55,6,FALSE)&gt;0,VLOOKUP(A17,state!$A$2:$G$55,5,FALSE)=VLOOKUP(A17,state!$A$2:$G$55,7,FALSE)),(VLOOKUP(A17,state!$A$2:$J$55,7,FALSE)-VLOOKUP(A17,state!$A$2:$J$55,10,FALSE))*E17/(VLOOKUP(A17,state!$A$2:$J$55,7,FALSE)-VLOOKUP(A17,state!$A$2:$K$55,11,FALSE)),0)</f>
        <v>0</v>
      </c>
      <c r="L17" s="27">
        <f t="shared" si="2"/>
        <v>0</v>
      </c>
      <c r="M17" s="27">
        <f t="shared" si="3"/>
        <v>0</v>
      </c>
    </row>
    <row r="18" spans="1:13" ht="12.75">
      <c r="A18" s="24" t="s">
        <v>24</v>
      </c>
      <c r="B18" s="25" t="s">
        <v>164</v>
      </c>
      <c r="C18" s="26">
        <f>'cost benchmark'!P27</f>
        <v>0</v>
      </c>
      <c r="D18" s="26">
        <f>'cost benchmark'!Q27*VLOOKUP(A18,'per line'!$A$6:$E$55,5,FALSE)</f>
        <v>0</v>
      </c>
      <c r="E18" s="26">
        <f>'cost benchmark'!F27</f>
        <v>0</v>
      </c>
      <c r="F18" s="27">
        <f t="shared" si="0"/>
        <v>0</v>
      </c>
      <c r="G18" s="26">
        <f t="shared" si="1"/>
        <v>0</v>
      </c>
      <c r="H18" s="26">
        <f>IF(VLOOKUP(A18,state!$A$2:$G$55,4,FALSE)=VLOOKUP(A18,state!$A$2:$G$55,7,FALSE),D18,0)</f>
        <v>0</v>
      </c>
      <c r="I18" s="26">
        <f>IF(AND(D18&gt;E18,VLOOKUP(A18,state!$A$2:$G$55,5,FALSE)=VLOOKUP(A18,state!$A$2:$G$55,7,FALSE)),D18,0)</f>
        <v>0</v>
      </c>
      <c r="J18" s="26">
        <f>IF(AND(D18&gt;E18,VLOOKUP(A18,state!$A$2:$G$55,5,FALSE)=VLOOKUP(A18,state!$A$2:$G$55,7,FALSE)),E18,0)</f>
        <v>0</v>
      </c>
      <c r="K18" s="26">
        <f>IF(AND(I18=0,VLOOKUP(A18,state!$A$2:$G$55,6,FALSE)&gt;0,VLOOKUP(A18,state!$A$2:$G$55,5,FALSE)=VLOOKUP(A18,state!$A$2:$G$55,7,FALSE)),(VLOOKUP(A18,state!$A$2:$J$55,7,FALSE)-VLOOKUP(A18,state!$A$2:$J$55,10,FALSE))*E18/(VLOOKUP(A18,state!$A$2:$J$55,7,FALSE)-VLOOKUP(A18,state!$A$2:$K$55,11,FALSE)),0)</f>
        <v>0</v>
      </c>
      <c r="L18" s="27">
        <f t="shared" si="2"/>
        <v>0</v>
      </c>
      <c r="M18" s="27">
        <f t="shared" si="3"/>
        <v>0</v>
      </c>
    </row>
    <row r="19" spans="1:13" ht="12.75">
      <c r="A19" s="24" t="s">
        <v>24</v>
      </c>
      <c r="B19" s="25" t="s">
        <v>125</v>
      </c>
      <c r="C19" s="26">
        <f>'cost benchmark'!P28</f>
        <v>0</v>
      </c>
      <c r="D19" s="26">
        <f>'cost benchmark'!Q28*VLOOKUP(A19,'per line'!$A$6:$E$55,5,FALSE)</f>
        <v>0</v>
      </c>
      <c r="E19" s="26">
        <f>'cost benchmark'!F28</f>
        <v>0</v>
      </c>
      <c r="F19" s="27">
        <f t="shared" si="0"/>
        <v>0</v>
      </c>
      <c r="G19" s="26">
        <f t="shared" si="1"/>
        <v>0</v>
      </c>
      <c r="H19" s="26">
        <f>IF(VLOOKUP(A19,state!$A$2:$G$55,4,FALSE)=VLOOKUP(A19,state!$A$2:$G$55,7,FALSE),D19,0)</f>
        <v>0</v>
      </c>
      <c r="I19" s="26">
        <f>IF(AND(D19&gt;E19,VLOOKUP(A19,state!$A$2:$G$55,5,FALSE)=VLOOKUP(A19,state!$A$2:$G$55,7,FALSE)),D19,0)</f>
        <v>0</v>
      </c>
      <c r="J19" s="26">
        <f>IF(AND(D19&gt;E19,VLOOKUP(A19,state!$A$2:$G$55,5,FALSE)=VLOOKUP(A19,state!$A$2:$G$55,7,FALSE)),E19,0)</f>
        <v>0</v>
      </c>
      <c r="K19" s="26">
        <f>IF(AND(I19=0,VLOOKUP(A19,state!$A$2:$G$55,6,FALSE)&gt;0,VLOOKUP(A19,state!$A$2:$G$55,5,FALSE)=VLOOKUP(A19,state!$A$2:$G$55,7,FALSE)),(VLOOKUP(A19,state!$A$2:$J$55,7,FALSE)-VLOOKUP(A19,state!$A$2:$J$55,10,FALSE))*E19/(VLOOKUP(A19,state!$A$2:$J$55,7,FALSE)-VLOOKUP(A19,state!$A$2:$K$55,11,FALSE)),0)</f>
        <v>0</v>
      </c>
      <c r="L19" s="27">
        <f t="shared" si="2"/>
        <v>0</v>
      </c>
      <c r="M19" s="27">
        <f t="shared" si="3"/>
        <v>0</v>
      </c>
    </row>
    <row r="20" spans="1:13" ht="12.75">
      <c r="A20" s="24" t="s">
        <v>26</v>
      </c>
      <c r="B20" s="25" t="s">
        <v>27</v>
      </c>
      <c r="C20" s="26">
        <f>'cost benchmark'!P29</f>
        <v>0</v>
      </c>
      <c r="D20" s="26">
        <f>'cost benchmark'!Q29*VLOOKUP(A20,'per line'!$A$6:$E$55,5,FALSE)</f>
        <v>0</v>
      </c>
      <c r="E20" s="26">
        <f>'cost benchmark'!F29</f>
        <v>2980956</v>
      </c>
      <c r="F20" s="27">
        <f t="shared" si="0"/>
        <v>2980956</v>
      </c>
      <c r="G20" s="26">
        <f t="shared" si="1"/>
        <v>2980956</v>
      </c>
      <c r="H20" s="26">
        <f>IF(VLOOKUP(A20,state!$A$2:$G$55,4,FALSE)=VLOOKUP(A20,state!$A$2:$G$55,7,FALSE),D20,0)</f>
        <v>0</v>
      </c>
      <c r="I20" s="26">
        <f>IF(AND(D20&gt;E20,VLOOKUP(A20,state!$A$2:$G$55,5,FALSE)=VLOOKUP(A20,state!$A$2:$G$55,7,FALSE)),D20,0)</f>
        <v>0</v>
      </c>
      <c r="J20" s="26">
        <f>IF(AND(D20&gt;E20,VLOOKUP(A20,state!$A$2:$G$55,5,FALSE)=VLOOKUP(A20,state!$A$2:$G$55,7,FALSE)),E20,0)</f>
        <v>0</v>
      </c>
      <c r="K20" s="26">
        <f>IF(AND(I20=0,VLOOKUP(A20,state!$A$2:$G$55,6,FALSE)&gt;0,VLOOKUP(A20,state!$A$2:$G$55,5,FALSE)=VLOOKUP(A20,state!$A$2:$G$55,7,FALSE)),(VLOOKUP(A20,state!$A$2:$J$55,7,FALSE)-VLOOKUP(A20,state!$A$2:$J$55,10,FALSE))*E20/(VLOOKUP(A20,state!$A$2:$J$55,7,FALSE)-VLOOKUP(A20,state!$A$2:$K$55,11,FALSE)),0)</f>
        <v>2980956</v>
      </c>
      <c r="L20" s="27">
        <f t="shared" si="2"/>
        <v>2980956</v>
      </c>
      <c r="M20" s="27">
        <f t="shared" si="3"/>
        <v>0</v>
      </c>
    </row>
    <row r="21" spans="1:13" ht="12.75">
      <c r="A21" s="24" t="s">
        <v>28</v>
      </c>
      <c r="B21" s="25" t="s">
        <v>138</v>
      </c>
      <c r="C21" s="26">
        <f>'cost benchmark'!P30</f>
        <v>0</v>
      </c>
      <c r="D21" s="26">
        <f>'cost benchmark'!Q30*VLOOKUP(A21,'per line'!$A$6:$E$55,5,FALSE)</f>
        <v>0</v>
      </c>
      <c r="E21" s="26">
        <f>'cost benchmark'!F30</f>
        <v>0</v>
      </c>
      <c r="F21" s="27">
        <f t="shared" si="0"/>
        <v>0</v>
      </c>
      <c r="G21" s="26">
        <f t="shared" si="1"/>
        <v>0</v>
      </c>
      <c r="H21" s="26">
        <f>IF(VLOOKUP(A21,state!$A$2:$G$55,4,FALSE)=VLOOKUP(A21,state!$A$2:$G$55,7,FALSE),D21,0)</f>
        <v>0</v>
      </c>
      <c r="I21" s="26">
        <f>IF(AND(D21&gt;E21,VLOOKUP(A21,state!$A$2:$G$55,5,FALSE)=VLOOKUP(A21,state!$A$2:$G$55,7,FALSE)),D21,0)</f>
        <v>0</v>
      </c>
      <c r="J21" s="26">
        <f>IF(AND(D21&gt;E21,VLOOKUP(A21,state!$A$2:$G$55,5,FALSE)=VLOOKUP(A21,state!$A$2:$G$55,7,FALSE)),E21,0)</f>
        <v>0</v>
      </c>
      <c r="K21" s="26">
        <f>IF(AND(I21=0,VLOOKUP(A21,state!$A$2:$G$55,6,FALSE)&gt;0,VLOOKUP(A21,state!$A$2:$G$55,5,FALSE)=VLOOKUP(A21,state!$A$2:$G$55,7,FALSE)),(VLOOKUP(A21,state!$A$2:$J$55,7,FALSE)-VLOOKUP(A21,state!$A$2:$J$55,10,FALSE))*E21/(VLOOKUP(A21,state!$A$2:$J$55,7,FALSE)-VLOOKUP(A21,state!$A$2:$K$55,11,FALSE)),0)</f>
        <v>0</v>
      </c>
      <c r="L21" s="27">
        <f t="shared" si="2"/>
        <v>0</v>
      </c>
      <c r="M21" s="27">
        <f t="shared" si="3"/>
        <v>0</v>
      </c>
    </row>
    <row r="22" spans="1:13" ht="12.75">
      <c r="A22" s="24" t="s">
        <v>29</v>
      </c>
      <c r="B22" s="25" t="s">
        <v>30</v>
      </c>
      <c r="C22" s="26">
        <f>'cost benchmark'!P31</f>
        <v>0</v>
      </c>
      <c r="D22" s="26">
        <f>'cost benchmark'!Q31*VLOOKUP(A22,'per line'!$A$6:$E$55,5,FALSE)</f>
        <v>0</v>
      </c>
      <c r="E22" s="26">
        <f>'cost benchmark'!F31</f>
        <v>0</v>
      </c>
      <c r="F22" s="27">
        <f t="shared" si="0"/>
        <v>0</v>
      </c>
      <c r="G22" s="26">
        <f t="shared" si="1"/>
        <v>0</v>
      </c>
      <c r="H22" s="26">
        <f>IF(VLOOKUP(A22,state!$A$2:$G$55,4,FALSE)=VLOOKUP(A22,state!$A$2:$G$55,7,FALSE),D22,0)</f>
        <v>0</v>
      </c>
      <c r="I22" s="26">
        <f>IF(AND(D22&gt;E22,VLOOKUP(A22,state!$A$2:$G$55,5,FALSE)=VLOOKUP(A22,state!$A$2:$G$55,7,FALSE)),D22,0)</f>
        <v>0</v>
      </c>
      <c r="J22" s="26">
        <f>IF(AND(D22&gt;E22,VLOOKUP(A22,state!$A$2:$G$55,5,FALSE)=VLOOKUP(A22,state!$A$2:$G$55,7,FALSE)),E22,0)</f>
        <v>0</v>
      </c>
      <c r="K22" s="26">
        <f>IF(AND(I22=0,VLOOKUP(A22,state!$A$2:$G$55,6,FALSE)&gt;0,VLOOKUP(A22,state!$A$2:$G$55,5,FALSE)=VLOOKUP(A22,state!$A$2:$G$55,7,FALSE)),(VLOOKUP(A22,state!$A$2:$J$55,7,FALSE)-VLOOKUP(A22,state!$A$2:$J$55,10,FALSE))*E22/(VLOOKUP(A22,state!$A$2:$J$55,7,FALSE)-VLOOKUP(A22,state!$A$2:$K$55,11,FALSE)),0)</f>
        <v>0</v>
      </c>
      <c r="L22" s="27">
        <f t="shared" si="2"/>
        <v>0</v>
      </c>
      <c r="M22" s="27">
        <f t="shared" si="3"/>
        <v>0</v>
      </c>
    </row>
    <row r="23" spans="1:13" ht="12.75">
      <c r="A23" s="24" t="s">
        <v>31</v>
      </c>
      <c r="B23" s="25" t="s">
        <v>32</v>
      </c>
      <c r="C23" s="26">
        <f>'cost benchmark'!P32</f>
        <v>0</v>
      </c>
      <c r="D23" s="26">
        <f>'cost benchmark'!Q32*VLOOKUP(A23,'per line'!$A$6:$E$55,5,FALSE)</f>
        <v>0</v>
      </c>
      <c r="E23" s="26">
        <f>'cost benchmark'!F32</f>
        <v>0</v>
      </c>
      <c r="F23" s="27">
        <f t="shared" si="0"/>
        <v>0</v>
      </c>
      <c r="G23" s="26">
        <f>IF(E23&gt;D23,E23-D23,0)</f>
        <v>0</v>
      </c>
      <c r="H23" s="26">
        <f>IF(VLOOKUP(A23,state!$A$2:$G$55,4,FALSE)=VLOOKUP(A23,state!$A$2:$G$55,7,FALSE),D23,0)</f>
        <v>0</v>
      </c>
      <c r="I23" s="26">
        <f>IF(AND(D23&gt;E23,VLOOKUP(A23,state!$A$2:$G$55,5,FALSE)=VLOOKUP(A23,state!$A$2:$G$55,7,FALSE)),D23,0)</f>
        <v>0</v>
      </c>
      <c r="J23" s="26">
        <f>IF(AND(D23&gt;E23,VLOOKUP(A23,state!$A$2:$G$55,5,FALSE)=VLOOKUP(A23,state!$A$2:$G$55,7,FALSE)),E23,0)</f>
        <v>0</v>
      </c>
      <c r="K23" s="26">
        <f>IF(AND(I23=0,VLOOKUP(A23,state!$A$2:$G$55,6,FALSE)&gt;0,VLOOKUP(A23,state!$A$2:$G$55,5,FALSE)=VLOOKUP(A23,state!$A$2:$G$55,7,FALSE)),(VLOOKUP(A23,state!$A$2:$J$55,7,FALSE)-VLOOKUP(A23,state!$A$2:$J$55,10,FALSE))*E23/(VLOOKUP(A23,state!$A$2:$J$55,7,FALSE)-VLOOKUP(A23,state!$A$2:$K$55,11,FALSE)),0)</f>
        <v>0</v>
      </c>
      <c r="L23" s="27">
        <f t="shared" si="2"/>
        <v>0</v>
      </c>
      <c r="M23" s="27">
        <f t="shared" si="3"/>
        <v>0</v>
      </c>
    </row>
    <row r="24" spans="1:13" ht="12.75">
      <c r="A24" s="24" t="s">
        <v>33</v>
      </c>
      <c r="B24" s="25" t="s">
        <v>155</v>
      </c>
      <c r="C24" s="26">
        <f>'cost benchmark'!P33</f>
        <v>0</v>
      </c>
      <c r="D24" s="26">
        <f>'cost benchmark'!Q33*VLOOKUP(A24,'per line'!$A$6:$E$55,5,FALSE)</f>
        <v>0</v>
      </c>
      <c r="E24" s="26">
        <f>'cost benchmark'!F33</f>
        <v>0</v>
      </c>
      <c r="F24" s="27">
        <f t="shared" si="0"/>
        <v>0</v>
      </c>
      <c r="G24" s="26">
        <f t="shared" si="1"/>
        <v>0</v>
      </c>
      <c r="H24" s="26">
        <f>IF(VLOOKUP(A24,state!$A$2:$G$55,4,FALSE)=VLOOKUP(A24,state!$A$2:$G$55,7,FALSE),D24,0)</f>
        <v>0</v>
      </c>
      <c r="I24" s="26">
        <f>IF(AND(D24&gt;E24,VLOOKUP(A24,state!$A$2:$G$55,5,FALSE)=VLOOKUP(A24,state!$A$2:$G$55,7,FALSE)),D24,0)</f>
        <v>0</v>
      </c>
      <c r="J24" s="26">
        <f>IF(AND(D24&gt;E24,VLOOKUP(A24,state!$A$2:$G$55,5,FALSE)=VLOOKUP(A24,state!$A$2:$G$55,7,FALSE)),E24,0)</f>
        <v>0</v>
      </c>
      <c r="K24" s="26">
        <f>IF(AND(I24=0,VLOOKUP(A24,state!$A$2:$G$55,6,FALSE)&gt;0,VLOOKUP(A24,state!$A$2:$G$55,5,FALSE)=VLOOKUP(A24,state!$A$2:$G$55,7,FALSE)),(VLOOKUP(A24,state!$A$2:$J$55,7,FALSE)-VLOOKUP(A24,state!$A$2:$J$55,10,FALSE))*E24/(VLOOKUP(A24,state!$A$2:$J$55,7,FALSE)-VLOOKUP(A24,state!$A$2:$K$55,11,FALSE)),0)</f>
        <v>0</v>
      </c>
      <c r="L24" s="27">
        <f t="shared" si="2"/>
        <v>0</v>
      </c>
      <c r="M24" s="27">
        <f t="shared" si="3"/>
        <v>0</v>
      </c>
    </row>
    <row r="25" spans="1:13" ht="12.75">
      <c r="A25" s="24" t="s">
        <v>33</v>
      </c>
      <c r="B25" s="25" t="s">
        <v>139</v>
      </c>
      <c r="C25" s="26">
        <f>'cost benchmark'!P34</f>
        <v>0</v>
      </c>
      <c r="D25" s="26">
        <f>'cost benchmark'!Q34*VLOOKUP(A25,'per line'!$A$6:$E$55,5,FALSE)</f>
        <v>0</v>
      </c>
      <c r="E25" s="26">
        <f>'cost benchmark'!F34</f>
        <v>0</v>
      </c>
      <c r="F25" s="27">
        <f t="shared" si="0"/>
        <v>0</v>
      </c>
      <c r="G25" s="26">
        <f t="shared" si="1"/>
        <v>0</v>
      </c>
      <c r="H25" s="26">
        <f>IF(VLOOKUP(A25,state!$A$2:$G$55,4,FALSE)=VLOOKUP(A25,state!$A$2:$G$55,7,FALSE),D25,0)</f>
        <v>0</v>
      </c>
      <c r="I25" s="26">
        <f>IF(AND(D25&gt;E25,VLOOKUP(A25,state!$A$2:$G$55,5,FALSE)=VLOOKUP(A25,state!$A$2:$G$55,7,FALSE)),D25,0)</f>
        <v>0</v>
      </c>
      <c r="J25" s="26">
        <f>IF(AND(D25&gt;E25,VLOOKUP(A25,state!$A$2:$G$55,5,FALSE)=VLOOKUP(A25,state!$A$2:$G$55,7,FALSE)),E25,0)</f>
        <v>0</v>
      </c>
      <c r="K25" s="26">
        <f>IF(AND(I25=0,VLOOKUP(A25,state!$A$2:$G$55,6,FALSE)&gt;0,VLOOKUP(A25,state!$A$2:$G$55,5,FALSE)=VLOOKUP(A25,state!$A$2:$G$55,7,FALSE)),(VLOOKUP(A25,state!$A$2:$J$55,7,FALSE)-VLOOKUP(A25,state!$A$2:$J$55,10,FALSE))*E25/(VLOOKUP(A25,state!$A$2:$J$55,7,FALSE)-VLOOKUP(A25,state!$A$2:$K$55,11,FALSE)),0)</f>
        <v>0</v>
      </c>
      <c r="L25" s="27">
        <f t="shared" si="2"/>
        <v>0</v>
      </c>
      <c r="M25" s="27">
        <f t="shared" si="3"/>
        <v>0</v>
      </c>
    </row>
    <row r="26" spans="1:13" ht="12.75">
      <c r="A26" s="24" t="s">
        <v>33</v>
      </c>
      <c r="B26" s="25" t="s">
        <v>34</v>
      </c>
      <c r="C26" s="26">
        <f>'cost benchmark'!P35</f>
        <v>0</v>
      </c>
      <c r="D26" s="26">
        <f>'cost benchmark'!Q35*VLOOKUP(A26,'per line'!$A$6:$E$55,5,FALSE)</f>
        <v>0</v>
      </c>
      <c r="E26" s="26">
        <f>'cost benchmark'!F35</f>
        <v>0</v>
      </c>
      <c r="F26" s="27">
        <f t="shared" si="0"/>
        <v>0</v>
      </c>
      <c r="G26" s="26">
        <f t="shared" si="1"/>
        <v>0</v>
      </c>
      <c r="H26" s="26">
        <f>IF(VLOOKUP(A26,state!$A$2:$G$55,4,FALSE)=VLOOKUP(A26,state!$A$2:$G$55,7,FALSE),D26,0)</f>
        <v>0</v>
      </c>
      <c r="I26" s="26">
        <f>IF(AND(D26&gt;E26,VLOOKUP(A26,state!$A$2:$G$55,5,FALSE)=VLOOKUP(A26,state!$A$2:$G$55,7,FALSE)),D26,0)</f>
        <v>0</v>
      </c>
      <c r="J26" s="26">
        <f>IF(AND(D26&gt;E26,VLOOKUP(A26,state!$A$2:$G$55,5,FALSE)=VLOOKUP(A26,state!$A$2:$G$55,7,FALSE)),E26,0)</f>
        <v>0</v>
      </c>
      <c r="K26" s="26">
        <f>IF(AND(I26=0,VLOOKUP(A26,state!$A$2:$G$55,6,FALSE)&gt;0,VLOOKUP(A26,state!$A$2:$G$55,5,FALSE)=VLOOKUP(A26,state!$A$2:$G$55,7,FALSE)),(VLOOKUP(A26,state!$A$2:$J$55,7,FALSE)-VLOOKUP(A26,state!$A$2:$J$55,10,FALSE))*E26/(VLOOKUP(A26,state!$A$2:$J$55,7,FALSE)-VLOOKUP(A26,state!$A$2:$K$55,11,FALSE)),0)</f>
        <v>0</v>
      </c>
      <c r="L26" s="27">
        <f t="shared" si="2"/>
        <v>0</v>
      </c>
      <c r="M26" s="27">
        <f t="shared" si="3"/>
        <v>0</v>
      </c>
    </row>
    <row r="27" spans="1:13" ht="12.75">
      <c r="A27" s="24" t="s">
        <v>35</v>
      </c>
      <c r="B27" s="25" t="s">
        <v>156</v>
      </c>
      <c r="C27" s="26">
        <f>'cost benchmark'!P36</f>
        <v>0</v>
      </c>
      <c r="D27" s="26">
        <f>'cost benchmark'!Q36*VLOOKUP(A27,'per line'!$A$6:$E$55,5,FALSE)</f>
        <v>0</v>
      </c>
      <c r="E27" s="26">
        <f>'cost benchmark'!F36</f>
        <v>0</v>
      </c>
      <c r="F27" s="27">
        <f t="shared" si="0"/>
        <v>0</v>
      </c>
      <c r="G27" s="26">
        <f t="shared" si="1"/>
        <v>0</v>
      </c>
      <c r="H27" s="26">
        <f>IF(VLOOKUP(A27,state!$A$2:$G$55,4,FALSE)=VLOOKUP(A27,state!$A$2:$G$55,7,FALSE),D27,0)</f>
        <v>0</v>
      </c>
      <c r="I27" s="26">
        <f>IF(AND(D27&gt;E27,VLOOKUP(A27,state!$A$2:$G$55,5,FALSE)=VLOOKUP(A27,state!$A$2:$G$55,7,FALSE)),D27,0)</f>
        <v>0</v>
      </c>
      <c r="J27" s="26">
        <f>IF(AND(D27&gt;E27,VLOOKUP(A27,state!$A$2:$G$55,5,FALSE)=VLOOKUP(A27,state!$A$2:$G$55,7,FALSE)),E27,0)</f>
        <v>0</v>
      </c>
      <c r="K27" s="26">
        <f>IF(AND(I27=0,VLOOKUP(A27,state!$A$2:$G$55,6,FALSE)&gt;0,VLOOKUP(A27,state!$A$2:$G$55,5,FALSE)=VLOOKUP(A27,state!$A$2:$G$55,7,FALSE)),(VLOOKUP(A27,state!$A$2:$J$55,7,FALSE)-VLOOKUP(A27,state!$A$2:$J$55,10,FALSE))*E27/(VLOOKUP(A27,state!$A$2:$J$55,7,FALSE)-VLOOKUP(A27,state!$A$2:$K$55,11,FALSE)),0)</f>
        <v>0</v>
      </c>
      <c r="L27" s="27">
        <f t="shared" si="2"/>
        <v>0</v>
      </c>
      <c r="M27" s="27">
        <f t="shared" si="3"/>
        <v>0</v>
      </c>
    </row>
    <row r="28" spans="1:13" ht="12.75">
      <c r="A28" s="24" t="s">
        <v>35</v>
      </c>
      <c r="B28" s="25" t="s">
        <v>140</v>
      </c>
      <c r="C28" s="26">
        <f>'cost benchmark'!P37</f>
        <v>0</v>
      </c>
      <c r="D28" s="26">
        <f>'cost benchmark'!Q37*VLOOKUP(A28,'per line'!$A$6:$E$55,5,FALSE)</f>
        <v>0</v>
      </c>
      <c r="E28" s="26">
        <f>'cost benchmark'!F37</f>
        <v>0</v>
      </c>
      <c r="F28" s="27">
        <f t="shared" si="0"/>
        <v>0</v>
      </c>
      <c r="G28" s="26">
        <f t="shared" si="1"/>
        <v>0</v>
      </c>
      <c r="H28" s="26">
        <f>IF(VLOOKUP(A28,state!$A$2:$G$55,4,FALSE)=VLOOKUP(A28,state!$A$2:$G$55,7,FALSE),D28,0)</f>
        <v>0</v>
      </c>
      <c r="I28" s="26">
        <f>IF(AND(D28&gt;E28,VLOOKUP(A28,state!$A$2:$G$55,5,FALSE)=VLOOKUP(A28,state!$A$2:$G$55,7,FALSE)),D28,0)</f>
        <v>0</v>
      </c>
      <c r="J28" s="26">
        <f>IF(AND(D28&gt;E28,VLOOKUP(A28,state!$A$2:$G$55,5,FALSE)=VLOOKUP(A28,state!$A$2:$G$55,7,FALSE)),E28,0)</f>
        <v>0</v>
      </c>
      <c r="K28" s="26">
        <f>IF(AND(I28=0,VLOOKUP(A28,state!$A$2:$G$55,6,FALSE)&gt;0,VLOOKUP(A28,state!$A$2:$G$55,5,FALSE)=VLOOKUP(A28,state!$A$2:$G$55,7,FALSE)),(VLOOKUP(A28,state!$A$2:$J$55,7,FALSE)-VLOOKUP(A28,state!$A$2:$J$55,10,FALSE))*E28/(VLOOKUP(A28,state!$A$2:$J$55,7,FALSE)-VLOOKUP(A28,state!$A$2:$K$55,11,FALSE)),0)</f>
        <v>0</v>
      </c>
      <c r="L28" s="27">
        <f t="shared" si="2"/>
        <v>0</v>
      </c>
      <c r="M28" s="27">
        <f t="shared" si="3"/>
        <v>0</v>
      </c>
    </row>
    <row r="29" spans="1:13" ht="12.75">
      <c r="A29" s="24" t="s">
        <v>35</v>
      </c>
      <c r="B29" s="25" t="s">
        <v>36</v>
      </c>
      <c r="C29" s="26">
        <f>'cost benchmark'!P38</f>
        <v>0</v>
      </c>
      <c r="D29" s="26">
        <f>'cost benchmark'!Q38*VLOOKUP(A29,'per line'!$A$6:$E$55,5,FALSE)</f>
        <v>0</v>
      </c>
      <c r="E29" s="26">
        <f>'cost benchmark'!F38</f>
        <v>0</v>
      </c>
      <c r="F29" s="27">
        <f t="shared" si="0"/>
        <v>0</v>
      </c>
      <c r="G29" s="26">
        <f t="shared" si="1"/>
        <v>0</v>
      </c>
      <c r="H29" s="26">
        <f>IF(VLOOKUP(A29,state!$A$2:$G$55,4,FALSE)=VLOOKUP(A29,state!$A$2:$G$55,7,FALSE),D29,0)</f>
        <v>0</v>
      </c>
      <c r="I29" s="26">
        <f>IF(AND(D29&gt;E29,VLOOKUP(A29,state!$A$2:$G$55,5,FALSE)=VLOOKUP(A29,state!$A$2:$G$55,7,FALSE)),D29,0)</f>
        <v>0</v>
      </c>
      <c r="J29" s="26">
        <f>IF(AND(D29&gt;E29,VLOOKUP(A29,state!$A$2:$G$55,5,FALSE)=VLOOKUP(A29,state!$A$2:$G$55,7,FALSE)),E29,0)</f>
        <v>0</v>
      </c>
      <c r="K29" s="26">
        <f>IF(AND(I29=0,VLOOKUP(A29,state!$A$2:$G$55,6,FALSE)&gt;0,VLOOKUP(A29,state!$A$2:$G$55,5,FALSE)=VLOOKUP(A29,state!$A$2:$G$55,7,FALSE)),(VLOOKUP(A29,state!$A$2:$J$55,7,FALSE)-VLOOKUP(A29,state!$A$2:$J$55,10,FALSE))*E29/(VLOOKUP(A29,state!$A$2:$J$55,7,FALSE)-VLOOKUP(A29,state!$A$2:$K$55,11,FALSE)),0)</f>
        <v>0</v>
      </c>
      <c r="L29" s="27">
        <f t="shared" si="2"/>
        <v>0</v>
      </c>
      <c r="M29" s="27">
        <f t="shared" si="3"/>
        <v>0</v>
      </c>
    </row>
    <row r="30" spans="1:13" ht="12.75">
      <c r="A30" s="24" t="s">
        <v>37</v>
      </c>
      <c r="B30" s="25" t="s">
        <v>38</v>
      </c>
      <c r="C30" s="26">
        <f>'cost benchmark'!P39</f>
        <v>0</v>
      </c>
      <c r="D30" s="26">
        <f>'cost benchmark'!Q39*VLOOKUP(A30,'per line'!$A$6:$E$55,5,FALSE)</f>
        <v>0</v>
      </c>
      <c r="E30" s="26">
        <f>'cost benchmark'!F39</f>
        <v>0</v>
      </c>
      <c r="F30" s="27">
        <f t="shared" si="0"/>
        <v>0</v>
      </c>
      <c r="G30" s="26">
        <f t="shared" si="1"/>
        <v>0</v>
      </c>
      <c r="H30" s="26">
        <f>IF(VLOOKUP(A30,state!$A$2:$G$55,4,FALSE)=VLOOKUP(A30,state!$A$2:$G$55,7,FALSE),D30,0)</f>
        <v>0</v>
      </c>
      <c r="I30" s="26">
        <f>IF(AND(D30&gt;E30,VLOOKUP(A30,state!$A$2:$G$55,5,FALSE)=VLOOKUP(A30,state!$A$2:$G$55,7,FALSE)),D30,0)</f>
        <v>0</v>
      </c>
      <c r="J30" s="26">
        <f>IF(AND(D30&gt;E30,VLOOKUP(A30,state!$A$2:$G$55,5,FALSE)=VLOOKUP(A30,state!$A$2:$G$55,7,FALSE)),E30,0)</f>
        <v>0</v>
      </c>
      <c r="K30" s="26">
        <f>IF(AND(I30=0,VLOOKUP(A30,state!$A$2:$G$55,6,FALSE)&gt;0,VLOOKUP(A30,state!$A$2:$G$55,5,FALSE)=VLOOKUP(A30,state!$A$2:$G$55,7,FALSE)),(VLOOKUP(A30,state!$A$2:$J$55,7,FALSE)-VLOOKUP(A30,state!$A$2:$J$55,10,FALSE))*E30/(VLOOKUP(A30,state!$A$2:$J$55,7,FALSE)-VLOOKUP(A30,state!$A$2:$K$55,11,FALSE)),0)</f>
        <v>0</v>
      </c>
      <c r="L30" s="27">
        <f t="shared" si="2"/>
        <v>0</v>
      </c>
      <c r="M30" s="27">
        <f t="shared" si="3"/>
        <v>0</v>
      </c>
    </row>
    <row r="31" spans="1:13" ht="12.75">
      <c r="A31" s="24" t="s">
        <v>39</v>
      </c>
      <c r="B31" s="25" t="s">
        <v>40</v>
      </c>
      <c r="C31" s="26">
        <f>'cost benchmark'!P40</f>
        <v>0</v>
      </c>
      <c r="D31" s="26">
        <f>'cost benchmark'!Q40*VLOOKUP(A31,'per line'!$A$6:$E$55,5,FALSE)</f>
        <v>0</v>
      </c>
      <c r="E31" s="26">
        <f>'cost benchmark'!F40</f>
        <v>0</v>
      </c>
      <c r="F31" s="27">
        <f t="shared" si="0"/>
        <v>0</v>
      </c>
      <c r="G31" s="26">
        <f t="shared" si="1"/>
        <v>0</v>
      </c>
      <c r="H31" s="26">
        <f>IF(VLOOKUP(A31,state!$A$2:$G$55,4,FALSE)=VLOOKUP(A31,state!$A$2:$G$55,7,FALSE),D31,0)</f>
        <v>0</v>
      </c>
      <c r="I31" s="26">
        <f>IF(AND(D31&gt;E31,VLOOKUP(A31,state!$A$2:$G$55,5,FALSE)=VLOOKUP(A31,state!$A$2:$G$55,7,FALSE)),D31,0)</f>
        <v>0</v>
      </c>
      <c r="J31" s="26">
        <f>IF(AND(D31&gt;E31,VLOOKUP(A31,state!$A$2:$G$55,5,FALSE)=VLOOKUP(A31,state!$A$2:$G$55,7,FALSE)),E31,0)</f>
        <v>0</v>
      </c>
      <c r="K31" s="26">
        <f>IF(AND(I31=0,VLOOKUP(A31,state!$A$2:$G$55,6,FALSE)&gt;0,VLOOKUP(A31,state!$A$2:$G$55,5,FALSE)=VLOOKUP(A31,state!$A$2:$G$55,7,FALSE)),(VLOOKUP(A31,state!$A$2:$J$55,7,FALSE)-VLOOKUP(A31,state!$A$2:$J$55,10,FALSE))*E31/(VLOOKUP(A31,state!$A$2:$J$55,7,FALSE)-VLOOKUP(A31,state!$A$2:$K$55,11,FALSE)),0)</f>
        <v>0</v>
      </c>
      <c r="L31" s="27">
        <f t="shared" si="2"/>
        <v>0</v>
      </c>
      <c r="M31" s="27">
        <f t="shared" si="3"/>
        <v>0</v>
      </c>
    </row>
    <row r="32" spans="1:13" ht="12.75">
      <c r="A32" s="24" t="s">
        <v>39</v>
      </c>
      <c r="B32" s="25" t="s">
        <v>141</v>
      </c>
      <c r="C32" s="26">
        <f>'cost benchmark'!P41</f>
        <v>0</v>
      </c>
      <c r="D32" s="26">
        <f>'cost benchmark'!Q41*VLOOKUP(A32,'per line'!$A$6:$E$55,5,FALSE)</f>
        <v>0</v>
      </c>
      <c r="E32" s="26">
        <f>'cost benchmark'!F41</f>
        <v>664404</v>
      </c>
      <c r="F32" s="27">
        <f t="shared" si="0"/>
        <v>664404</v>
      </c>
      <c r="G32" s="26">
        <f t="shared" si="1"/>
        <v>664404</v>
      </c>
      <c r="H32" s="26">
        <f>IF(VLOOKUP(A32,state!$A$2:$G$55,4,FALSE)=VLOOKUP(A32,state!$A$2:$G$55,7,FALSE),D32,0)</f>
        <v>0</v>
      </c>
      <c r="I32" s="26">
        <f>IF(AND(D32&gt;E32,VLOOKUP(A32,state!$A$2:$G$55,5,FALSE)=VLOOKUP(A32,state!$A$2:$G$55,7,FALSE)),D32,0)</f>
        <v>0</v>
      </c>
      <c r="J32" s="26">
        <f>IF(AND(D32&gt;E32,VLOOKUP(A32,state!$A$2:$G$55,5,FALSE)=VLOOKUP(A32,state!$A$2:$G$55,7,FALSE)),E32,0)</f>
        <v>0</v>
      </c>
      <c r="K32" s="26">
        <f>IF(AND(I32=0,VLOOKUP(A32,state!$A$2:$G$55,6,FALSE)&gt;0,VLOOKUP(A32,state!$A$2:$G$55,5,FALSE)=VLOOKUP(A32,state!$A$2:$G$55,7,FALSE)),(VLOOKUP(A32,state!$A$2:$J$55,7,FALSE)-VLOOKUP(A32,state!$A$2:$J$55,10,FALSE))*E32/(VLOOKUP(A32,state!$A$2:$J$55,7,FALSE)-VLOOKUP(A32,state!$A$2:$K$55,11,FALSE)),0)</f>
        <v>664404</v>
      </c>
      <c r="L32" s="27">
        <f t="shared" si="2"/>
        <v>664404</v>
      </c>
      <c r="M32" s="27">
        <f t="shared" si="3"/>
        <v>0</v>
      </c>
    </row>
    <row r="33" spans="1:13" ht="12.75">
      <c r="A33" s="24" t="s">
        <v>39</v>
      </c>
      <c r="B33" s="25" t="s">
        <v>41</v>
      </c>
      <c r="C33" s="26">
        <f>'cost benchmark'!P42</f>
        <v>0</v>
      </c>
      <c r="D33" s="26">
        <f>'cost benchmark'!Q42*VLOOKUP(A33,'per line'!$A$6:$E$55,5,FALSE)</f>
        <v>0</v>
      </c>
      <c r="E33" s="26">
        <f>'cost benchmark'!F42</f>
        <v>867252</v>
      </c>
      <c r="F33" s="27">
        <f t="shared" si="0"/>
        <v>867252</v>
      </c>
      <c r="G33" s="26">
        <f t="shared" si="1"/>
        <v>867252</v>
      </c>
      <c r="H33" s="26">
        <f>IF(VLOOKUP(A33,state!$A$2:$G$55,4,FALSE)=VLOOKUP(A33,state!$A$2:$G$55,7,FALSE),D33,0)</f>
        <v>0</v>
      </c>
      <c r="I33" s="26">
        <f>IF(AND(D33&gt;E33,VLOOKUP(A33,state!$A$2:$G$55,5,FALSE)=VLOOKUP(A33,state!$A$2:$G$55,7,FALSE)),D33,0)</f>
        <v>0</v>
      </c>
      <c r="J33" s="26">
        <f>IF(AND(D33&gt;E33,VLOOKUP(A33,state!$A$2:$G$55,5,FALSE)=VLOOKUP(A33,state!$A$2:$G$55,7,FALSE)),E33,0)</f>
        <v>0</v>
      </c>
      <c r="K33" s="26">
        <f>IF(AND(I33=0,VLOOKUP(A33,state!$A$2:$G$55,6,FALSE)&gt;0,VLOOKUP(A33,state!$A$2:$G$55,5,FALSE)=VLOOKUP(A33,state!$A$2:$G$55,7,FALSE)),(VLOOKUP(A33,state!$A$2:$J$55,7,FALSE)-VLOOKUP(A33,state!$A$2:$J$55,10,FALSE))*E33/(VLOOKUP(A33,state!$A$2:$J$55,7,FALSE)-VLOOKUP(A33,state!$A$2:$K$55,11,FALSE)),0)</f>
        <v>867252</v>
      </c>
      <c r="L33" s="27">
        <f t="shared" si="2"/>
        <v>867252</v>
      </c>
      <c r="M33" s="27">
        <f t="shared" si="3"/>
        <v>0</v>
      </c>
    </row>
    <row r="34" spans="1:13" ht="12.75">
      <c r="A34" s="24" t="s">
        <v>42</v>
      </c>
      <c r="B34" s="25" t="s">
        <v>43</v>
      </c>
      <c r="C34" s="26">
        <f>'cost benchmark'!P43</f>
        <v>0</v>
      </c>
      <c r="D34" s="26">
        <f>'cost benchmark'!Q43*VLOOKUP(A34,'per line'!$A$6:$E$55,5,FALSE)</f>
        <v>0</v>
      </c>
      <c r="E34" s="26">
        <f>'cost benchmark'!F43</f>
        <v>0</v>
      </c>
      <c r="F34" s="27">
        <f t="shared" si="0"/>
        <v>0</v>
      </c>
      <c r="G34" s="26">
        <f t="shared" si="1"/>
        <v>0</v>
      </c>
      <c r="H34" s="26">
        <f>IF(VLOOKUP(A34,state!$A$2:$G$55,4,FALSE)=VLOOKUP(A34,state!$A$2:$G$55,7,FALSE),D34,0)</f>
        <v>0</v>
      </c>
      <c r="I34" s="26">
        <f>IF(AND(D34&gt;E34,VLOOKUP(A34,state!$A$2:$G$55,5,FALSE)=VLOOKUP(A34,state!$A$2:$G$55,7,FALSE)),D34,0)</f>
        <v>0</v>
      </c>
      <c r="J34" s="26">
        <f>IF(AND(D34&gt;E34,VLOOKUP(A34,state!$A$2:$G$55,5,FALSE)=VLOOKUP(A34,state!$A$2:$G$55,7,FALSE)),E34,0)</f>
        <v>0</v>
      </c>
      <c r="K34" s="26">
        <f>IF(AND(I34=0,VLOOKUP(A34,state!$A$2:$G$55,6,FALSE)&gt;0,VLOOKUP(A34,state!$A$2:$G$55,5,FALSE)=VLOOKUP(A34,state!$A$2:$G$55,7,FALSE)),(VLOOKUP(A34,state!$A$2:$J$55,7,FALSE)-VLOOKUP(A34,state!$A$2:$J$55,10,FALSE))*E34/(VLOOKUP(A34,state!$A$2:$J$55,7,FALSE)-VLOOKUP(A34,state!$A$2:$K$55,11,FALSE)),0)</f>
        <v>0</v>
      </c>
      <c r="L34" s="27">
        <f t="shared" si="2"/>
        <v>0</v>
      </c>
      <c r="M34" s="27">
        <f t="shared" si="3"/>
        <v>0</v>
      </c>
    </row>
    <row r="35" spans="1:13" ht="12.75">
      <c r="A35" s="24" t="s">
        <v>44</v>
      </c>
      <c r="B35" s="25" t="s">
        <v>45</v>
      </c>
      <c r="C35" s="26">
        <f>'cost benchmark'!P44</f>
        <v>0</v>
      </c>
      <c r="D35" s="26">
        <f>'cost benchmark'!Q44*VLOOKUP(A35,'per line'!$A$6:$E$55,5,FALSE)</f>
        <v>0</v>
      </c>
      <c r="E35" s="26">
        <f>'cost benchmark'!F44</f>
        <v>0</v>
      </c>
      <c r="F35" s="27">
        <f t="shared" si="0"/>
        <v>0</v>
      </c>
      <c r="G35" s="26">
        <f t="shared" si="1"/>
        <v>0</v>
      </c>
      <c r="H35" s="26">
        <f>IF(VLOOKUP(A35,state!$A$2:$G$55,4,FALSE)=VLOOKUP(A35,state!$A$2:$G$55,7,FALSE),D35,0)</f>
        <v>0</v>
      </c>
      <c r="I35" s="26">
        <f>IF(AND(D35&gt;E35,VLOOKUP(A35,state!$A$2:$G$55,5,FALSE)=VLOOKUP(A35,state!$A$2:$G$55,7,FALSE)),D35,0)</f>
        <v>0</v>
      </c>
      <c r="J35" s="26">
        <f>IF(AND(D35&gt;E35,VLOOKUP(A35,state!$A$2:$G$55,5,FALSE)=VLOOKUP(A35,state!$A$2:$G$55,7,FALSE)),E35,0)</f>
        <v>0</v>
      </c>
      <c r="K35" s="26">
        <f>IF(AND(I35=0,VLOOKUP(A35,state!$A$2:$G$55,6,FALSE)&gt;0,VLOOKUP(A35,state!$A$2:$G$55,5,FALSE)=VLOOKUP(A35,state!$A$2:$G$55,7,FALSE)),(VLOOKUP(A35,state!$A$2:$J$55,7,FALSE)-VLOOKUP(A35,state!$A$2:$J$55,10,FALSE))*E35/(VLOOKUP(A35,state!$A$2:$J$55,7,FALSE)-VLOOKUP(A35,state!$A$2:$K$55,11,FALSE)),0)</f>
        <v>0</v>
      </c>
      <c r="L35" s="27">
        <f t="shared" si="2"/>
        <v>0</v>
      </c>
      <c r="M35" s="27">
        <f t="shared" si="3"/>
        <v>0</v>
      </c>
    </row>
    <row r="36" spans="1:13" ht="12.75">
      <c r="A36" s="24" t="s">
        <v>46</v>
      </c>
      <c r="B36" s="25" t="s">
        <v>47</v>
      </c>
      <c r="C36" s="26">
        <f>'cost benchmark'!P45</f>
        <v>0</v>
      </c>
      <c r="D36" s="26">
        <f>'cost benchmark'!Q45*VLOOKUP(A36,'per line'!$A$6:$E$55,5,FALSE)</f>
        <v>0</v>
      </c>
      <c r="E36" s="26">
        <f>'cost benchmark'!F45</f>
        <v>0</v>
      </c>
      <c r="F36" s="27">
        <f t="shared" si="0"/>
        <v>0</v>
      </c>
      <c r="G36" s="26">
        <f t="shared" si="1"/>
        <v>0</v>
      </c>
      <c r="H36" s="26">
        <f>IF(VLOOKUP(A36,state!$A$2:$G$55,4,FALSE)=VLOOKUP(A36,state!$A$2:$G$55,7,FALSE),D36,0)</f>
        <v>0</v>
      </c>
      <c r="I36" s="26">
        <f>IF(AND(D36&gt;E36,VLOOKUP(A36,state!$A$2:$G$55,5,FALSE)=VLOOKUP(A36,state!$A$2:$G$55,7,FALSE)),D36,0)</f>
        <v>0</v>
      </c>
      <c r="J36" s="26">
        <f>IF(AND(D36&gt;E36,VLOOKUP(A36,state!$A$2:$G$55,5,FALSE)=VLOOKUP(A36,state!$A$2:$G$55,7,FALSE)),E36,0)</f>
        <v>0</v>
      </c>
      <c r="K36" s="26">
        <f>IF(AND(I36=0,VLOOKUP(A36,state!$A$2:$G$55,6,FALSE)&gt;0,VLOOKUP(A36,state!$A$2:$G$55,5,FALSE)=VLOOKUP(A36,state!$A$2:$G$55,7,FALSE)),(VLOOKUP(A36,state!$A$2:$J$55,7,FALSE)-VLOOKUP(A36,state!$A$2:$J$55,10,FALSE))*E36/(VLOOKUP(A36,state!$A$2:$J$55,7,FALSE)-VLOOKUP(A36,state!$A$2:$K$55,11,FALSE)),0)</f>
        <v>0</v>
      </c>
      <c r="L36" s="27">
        <f t="shared" si="2"/>
        <v>0</v>
      </c>
      <c r="M36" s="27">
        <f t="shared" si="3"/>
        <v>0</v>
      </c>
    </row>
    <row r="37" spans="1:13" ht="12.75">
      <c r="A37" s="24" t="s">
        <v>48</v>
      </c>
      <c r="B37" s="25" t="s">
        <v>49</v>
      </c>
      <c r="C37" s="26">
        <f>'cost benchmark'!P46</f>
        <v>0</v>
      </c>
      <c r="D37" s="26">
        <f>'cost benchmark'!Q46*VLOOKUP(A37,'per line'!$A$6:$E$55,5,FALSE)</f>
        <v>0</v>
      </c>
      <c r="E37" s="26">
        <f>'cost benchmark'!F46</f>
        <v>0</v>
      </c>
      <c r="F37" s="27">
        <f t="shared" si="0"/>
        <v>0</v>
      </c>
      <c r="G37" s="26">
        <f t="shared" si="1"/>
        <v>0</v>
      </c>
      <c r="H37" s="26">
        <f>IF(VLOOKUP(A37,state!$A$2:$G$55,4,FALSE)=VLOOKUP(A37,state!$A$2:$G$55,7,FALSE),D37,0)</f>
        <v>0</v>
      </c>
      <c r="I37" s="26">
        <f>IF(AND(D37&gt;E37,VLOOKUP(A37,state!$A$2:$G$55,5,FALSE)=VLOOKUP(A37,state!$A$2:$G$55,7,FALSE)),D37,0)</f>
        <v>0</v>
      </c>
      <c r="J37" s="26">
        <f>IF(AND(D37&gt;E37,VLOOKUP(A37,state!$A$2:$G$55,5,FALSE)=VLOOKUP(A37,state!$A$2:$G$55,7,FALSE)),E37,0)</f>
        <v>0</v>
      </c>
      <c r="K37" s="26">
        <f>IF(AND(I37=0,VLOOKUP(A37,state!$A$2:$G$55,6,FALSE)&gt;0,VLOOKUP(A37,state!$A$2:$G$55,5,FALSE)=VLOOKUP(A37,state!$A$2:$G$55,7,FALSE)),(VLOOKUP(A37,state!$A$2:$J$55,7,FALSE)-VLOOKUP(A37,state!$A$2:$J$55,10,FALSE))*E37/(VLOOKUP(A37,state!$A$2:$J$55,7,FALSE)-VLOOKUP(A37,state!$A$2:$K$55,11,FALSE)),0)</f>
        <v>0</v>
      </c>
      <c r="L37" s="27">
        <f t="shared" si="2"/>
        <v>0</v>
      </c>
      <c r="M37" s="27">
        <f t="shared" si="3"/>
        <v>0</v>
      </c>
    </row>
    <row r="38" spans="1:13" ht="12.75">
      <c r="A38" s="24" t="s">
        <v>50</v>
      </c>
      <c r="B38" s="25" t="s">
        <v>142</v>
      </c>
      <c r="C38" s="26">
        <f>'cost benchmark'!P47</f>
        <v>0</v>
      </c>
      <c r="D38" s="26">
        <f>'cost benchmark'!Q47*VLOOKUP(A38,'per line'!$A$6:$E$55,5,FALSE)</f>
        <v>0</v>
      </c>
      <c r="E38" s="26">
        <f>'cost benchmark'!F47</f>
        <v>772320</v>
      </c>
      <c r="F38" s="27">
        <f t="shared" si="0"/>
        <v>772320</v>
      </c>
      <c r="G38" s="26">
        <f t="shared" si="1"/>
        <v>772320</v>
      </c>
      <c r="H38" s="26">
        <f>IF(VLOOKUP(A38,state!$A$2:$G$55,4,FALSE)=VLOOKUP(A38,state!$A$2:$G$55,7,FALSE),D38,0)</f>
        <v>0</v>
      </c>
      <c r="I38" s="26">
        <f>IF(AND(D38&gt;E38,VLOOKUP(A38,state!$A$2:$G$55,5,FALSE)=VLOOKUP(A38,state!$A$2:$G$55,7,FALSE)),D38,0)</f>
        <v>0</v>
      </c>
      <c r="J38" s="26">
        <f>IF(AND(D38&gt;E38,VLOOKUP(A38,state!$A$2:$G$55,5,FALSE)=VLOOKUP(A38,state!$A$2:$G$55,7,FALSE)),E38,0)</f>
        <v>0</v>
      </c>
      <c r="K38" s="26">
        <f>IF(AND(I38=0,VLOOKUP(A38,state!$A$2:$G$55,6,FALSE)&gt;0,VLOOKUP(A38,state!$A$2:$G$55,5,FALSE)=VLOOKUP(A38,state!$A$2:$G$55,7,FALSE)),(VLOOKUP(A38,state!$A$2:$J$55,7,FALSE)-VLOOKUP(A38,state!$A$2:$J$55,10,FALSE))*E38/(VLOOKUP(A38,state!$A$2:$J$55,7,FALSE)-VLOOKUP(A38,state!$A$2:$K$55,11,FALSE)),0)</f>
        <v>772320</v>
      </c>
      <c r="L38" s="27">
        <f t="shared" si="2"/>
        <v>772320</v>
      </c>
      <c r="M38" s="27">
        <f t="shared" si="3"/>
        <v>0</v>
      </c>
    </row>
    <row r="39" spans="1:13" ht="12.75">
      <c r="A39" s="24" t="s">
        <v>50</v>
      </c>
      <c r="B39" s="25" t="s">
        <v>51</v>
      </c>
      <c r="C39" s="26">
        <f>'cost benchmark'!P48</f>
        <v>0</v>
      </c>
      <c r="D39" s="26">
        <f>'cost benchmark'!Q48*VLOOKUP(A39,'per line'!$A$6:$E$55,5,FALSE)</f>
        <v>0</v>
      </c>
      <c r="E39" s="26">
        <f>'cost benchmark'!F48</f>
        <v>0</v>
      </c>
      <c r="F39" s="27">
        <f t="shared" si="0"/>
        <v>0</v>
      </c>
      <c r="G39" s="26">
        <f t="shared" si="1"/>
        <v>0</v>
      </c>
      <c r="H39" s="26">
        <f>IF(VLOOKUP(A39,state!$A$2:$G$55,4,FALSE)=VLOOKUP(A39,state!$A$2:$G$55,7,FALSE),D39,0)</f>
        <v>0</v>
      </c>
      <c r="I39" s="26">
        <f>IF(AND(D39&gt;E39,VLOOKUP(A39,state!$A$2:$G$55,5,FALSE)=VLOOKUP(A39,state!$A$2:$G$55,7,FALSE)),D39,0)</f>
        <v>0</v>
      </c>
      <c r="J39" s="26">
        <f>IF(AND(D39&gt;E39,VLOOKUP(A39,state!$A$2:$G$55,5,FALSE)=VLOOKUP(A39,state!$A$2:$G$55,7,FALSE)),E39,0)</f>
        <v>0</v>
      </c>
      <c r="K39" s="26">
        <f>IF(AND(I39=0,VLOOKUP(A39,state!$A$2:$G$55,6,FALSE)&gt;0,VLOOKUP(A39,state!$A$2:$G$55,5,FALSE)=VLOOKUP(A39,state!$A$2:$G$55,7,FALSE)),(VLOOKUP(A39,state!$A$2:$J$55,7,FALSE)-VLOOKUP(A39,state!$A$2:$J$55,10,FALSE))*E39/(VLOOKUP(A39,state!$A$2:$J$55,7,FALSE)-VLOOKUP(A39,state!$A$2:$K$55,11,FALSE)),0)</f>
        <v>0</v>
      </c>
      <c r="L39" s="27">
        <f t="shared" si="2"/>
        <v>0</v>
      </c>
      <c r="M39" s="27">
        <f t="shared" si="3"/>
        <v>0</v>
      </c>
    </row>
    <row r="40" spans="1:13" ht="12.75">
      <c r="A40" s="24" t="s">
        <v>52</v>
      </c>
      <c r="B40" s="25" t="s">
        <v>157</v>
      </c>
      <c r="C40" s="26">
        <f>'cost benchmark'!P49</f>
        <v>0</v>
      </c>
      <c r="D40" s="26">
        <f>'cost benchmark'!Q49*VLOOKUP(A40,'per line'!$A$6:$E$55,5,FALSE)</f>
        <v>0</v>
      </c>
      <c r="E40" s="26">
        <f>'cost benchmark'!F49</f>
        <v>0</v>
      </c>
      <c r="F40" s="27">
        <f t="shared" si="0"/>
        <v>0</v>
      </c>
      <c r="G40" s="26">
        <f t="shared" si="1"/>
        <v>0</v>
      </c>
      <c r="H40" s="26">
        <f>IF(VLOOKUP(A40,state!$A$2:$G$55,4,FALSE)=VLOOKUP(A40,state!$A$2:$G$55,7,FALSE),D40,0)</f>
        <v>0</v>
      </c>
      <c r="I40" s="26">
        <f>IF(AND(D40&gt;E40,VLOOKUP(A40,state!$A$2:$G$55,5,FALSE)=VLOOKUP(A40,state!$A$2:$G$55,7,FALSE)),D40,0)</f>
        <v>0</v>
      </c>
      <c r="J40" s="26">
        <f>IF(AND(D40&gt;E40,VLOOKUP(A40,state!$A$2:$G$55,5,FALSE)=VLOOKUP(A40,state!$A$2:$G$55,7,FALSE)),E40,0)</f>
        <v>0</v>
      </c>
      <c r="K40" s="26">
        <f>IF(AND(I40=0,VLOOKUP(A40,state!$A$2:$G$55,6,FALSE)&gt;0,VLOOKUP(A40,state!$A$2:$G$55,5,FALSE)=VLOOKUP(A40,state!$A$2:$G$55,7,FALSE)),(VLOOKUP(A40,state!$A$2:$J$55,7,FALSE)-VLOOKUP(A40,state!$A$2:$J$55,10,FALSE))*E40/(VLOOKUP(A40,state!$A$2:$J$55,7,FALSE)-VLOOKUP(A40,state!$A$2:$K$55,11,FALSE)),0)</f>
        <v>0</v>
      </c>
      <c r="L40" s="27">
        <f t="shared" si="2"/>
        <v>0</v>
      </c>
      <c r="M40" s="27">
        <f t="shared" si="3"/>
        <v>0</v>
      </c>
    </row>
    <row r="41" spans="1:13" ht="12.75">
      <c r="A41" s="24" t="s">
        <v>52</v>
      </c>
      <c r="B41" s="25" t="s">
        <v>53</v>
      </c>
      <c r="C41" s="26">
        <f>'cost benchmark'!P50</f>
        <v>0</v>
      </c>
      <c r="D41" s="26">
        <f>'cost benchmark'!Q50*VLOOKUP(A41,'per line'!$A$6:$E$55,5,FALSE)</f>
        <v>0</v>
      </c>
      <c r="E41" s="26">
        <f>'cost benchmark'!F50</f>
        <v>0</v>
      </c>
      <c r="F41" s="27">
        <f t="shared" si="0"/>
        <v>0</v>
      </c>
      <c r="G41" s="26">
        <f t="shared" si="1"/>
        <v>0</v>
      </c>
      <c r="H41" s="26">
        <f>IF(VLOOKUP(A41,state!$A$2:$G$55,4,FALSE)=VLOOKUP(A41,state!$A$2:$G$55,7,FALSE),D41,0)</f>
        <v>0</v>
      </c>
      <c r="I41" s="26">
        <f>IF(AND(D41&gt;E41,VLOOKUP(A41,state!$A$2:$G$55,5,FALSE)=VLOOKUP(A41,state!$A$2:$G$55,7,FALSE)),D41,0)</f>
        <v>0</v>
      </c>
      <c r="J41" s="26">
        <f>IF(AND(D41&gt;E41,VLOOKUP(A41,state!$A$2:$G$55,5,FALSE)=VLOOKUP(A41,state!$A$2:$G$55,7,FALSE)),E41,0)</f>
        <v>0</v>
      </c>
      <c r="K41" s="26">
        <f>IF(AND(I41=0,VLOOKUP(A41,state!$A$2:$G$55,6,FALSE)&gt;0,VLOOKUP(A41,state!$A$2:$G$55,5,FALSE)=VLOOKUP(A41,state!$A$2:$G$55,7,FALSE)),(VLOOKUP(A41,state!$A$2:$J$55,7,FALSE)-VLOOKUP(A41,state!$A$2:$J$55,10,FALSE))*E41/(VLOOKUP(A41,state!$A$2:$J$55,7,FALSE)-VLOOKUP(A41,state!$A$2:$K$55,11,FALSE)),0)</f>
        <v>0</v>
      </c>
      <c r="L41" s="27">
        <f t="shared" si="2"/>
        <v>0</v>
      </c>
      <c r="M41" s="27">
        <f t="shared" si="3"/>
        <v>0</v>
      </c>
    </row>
    <row r="42" spans="1:13" ht="12.75">
      <c r="A42" s="24" t="s">
        <v>54</v>
      </c>
      <c r="B42" s="25" t="s">
        <v>158</v>
      </c>
      <c r="C42" s="26">
        <f>'cost benchmark'!P51</f>
        <v>0</v>
      </c>
      <c r="D42" s="26">
        <f>'cost benchmark'!Q51*VLOOKUP(A42,'per line'!$A$6:$E$55,5,FALSE)</f>
        <v>0</v>
      </c>
      <c r="E42" s="26">
        <f>'cost benchmark'!F51</f>
        <v>2503020</v>
      </c>
      <c r="F42" s="27">
        <f t="shared" si="0"/>
        <v>2503020</v>
      </c>
      <c r="G42" s="26">
        <f t="shared" si="1"/>
        <v>2503020</v>
      </c>
      <c r="H42" s="26">
        <f>IF(VLOOKUP(A42,state!$A$2:$G$55,4,FALSE)=VLOOKUP(A42,state!$A$2:$G$55,7,FALSE),D42,0)</f>
        <v>0</v>
      </c>
      <c r="I42" s="26">
        <f>IF(AND(D42&gt;E42,VLOOKUP(A42,state!$A$2:$G$55,5,FALSE)=VLOOKUP(A42,state!$A$2:$G$55,7,FALSE)),D42,0)</f>
        <v>0</v>
      </c>
      <c r="J42" s="26">
        <f>IF(AND(D42&gt;E42,VLOOKUP(A42,state!$A$2:$G$55,5,FALSE)=VLOOKUP(A42,state!$A$2:$G$55,7,FALSE)),E42,0)</f>
        <v>0</v>
      </c>
      <c r="K42" s="26">
        <f>IF(AND(I42=0,VLOOKUP(A42,state!$A$2:$G$55,6,FALSE)&gt;0,VLOOKUP(A42,state!$A$2:$G$55,5,FALSE)=VLOOKUP(A42,state!$A$2:$G$55,7,FALSE)),(VLOOKUP(A42,state!$A$2:$J$55,7,FALSE)-VLOOKUP(A42,state!$A$2:$J$55,10,FALSE))*E42/(VLOOKUP(A42,state!$A$2:$J$55,7,FALSE)-VLOOKUP(A42,state!$A$2:$K$55,11,FALSE)),0)</f>
        <v>2503020</v>
      </c>
      <c r="L42" s="27">
        <f t="shared" si="2"/>
        <v>2503020</v>
      </c>
      <c r="M42" s="27">
        <f t="shared" si="3"/>
        <v>0</v>
      </c>
    </row>
    <row r="43" spans="1:13" ht="12.75">
      <c r="A43" s="24" t="s">
        <v>54</v>
      </c>
      <c r="B43" s="25" t="s">
        <v>143</v>
      </c>
      <c r="C43" s="26">
        <f>'cost benchmark'!P52</f>
        <v>0</v>
      </c>
      <c r="D43" s="26">
        <f>'cost benchmark'!Q52*VLOOKUP(A43,'per line'!$A$6:$E$55,5,FALSE)</f>
        <v>0</v>
      </c>
      <c r="E43" s="26">
        <f>'cost benchmark'!F52</f>
        <v>6465756</v>
      </c>
      <c r="F43" s="27">
        <f t="shared" si="0"/>
        <v>6465756</v>
      </c>
      <c r="G43" s="26">
        <f t="shared" si="1"/>
        <v>6465756</v>
      </c>
      <c r="H43" s="26">
        <f>IF(VLOOKUP(A43,state!$A$2:$G$55,4,FALSE)=VLOOKUP(A43,state!$A$2:$G$55,7,FALSE),D43,0)</f>
        <v>0</v>
      </c>
      <c r="I43" s="26">
        <f>IF(AND(D43&gt;E43,VLOOKUP(A43,state!$A$2:$G$55,5,FALSE)=VLOOKUP(A43,state!$A$2:$G$55,7,FALSE)),D43,0)</f>
        <v>0</v>
      </c>
      <c r="J43" s="26">
        <f>IF(AND(D43&gt;E43,VLOOKUP(A43,state!$A$2:$G$55,5,FALSE)=VLOOKUP(A43,state!$A$2:$G$55,7,FALSE)),E43,0)</f>
        <v>0</v>
      </c>
      <c r="K43" s="26">
        <f>IF(AND(I43=0,VLOOKUP(A43,state!$A$2:$G$55,6,FALSE)&gt;0,VLOOKUP(A43,state!$A$2:$G$55,5,FALSE)=VLOOKUP(A43,state!$A$2:$G$55,7,FALSE)),(VLOOKUP(A43,state!$A$2:$J$55,7,FALSE)-VLOOKUP(A43,state!$A$2:$J$55,10,FALSE))*E43/(VLOOKUP(A43,state!$A$2:$J$55,7,FALSE)-VLOOKUP(A43,state!$A$2:$K$55,11,FALSE)),0)</f>
        <v>6465756</v>
      </c>
      <c r="L43" s="27">
        <f t="shared" si="2"/>
        <v>6465756</v>
      </c>
      <c r="M43" s="27">
        <f t="shared" si="3"/>
        <v>0</v>
      </c>
    </row>
    <row r="44" spans="1:13" ht="12.75">
      <c r="A44" s="24" t="s">
        <v>54</v>
      </c>
      <c r="B44" s="25" t="s">
        <v>55</v>
      </c>
      <c r="C44" s="26">
        <f>'cost benchmark'!P53</f>
        <v>0</v>
      </c>
      <c r="D44" s="26">
        <f>'cost benchmark'!Q53*VLOOKUP(A44,'per line'!$A$6:$E$55,5,FALSE)</f>
        <v>0</v>
      </c>
      <c r="E44" s="26">
        <f>'cost benchmark'!F53</f>
        <v>0</v>
      </c>
      <c r="F44" s="27">
        <f t="shared" si="0"/>
        <v>0</v>
      </c>
      <c r="G44" s="26">
        <f t="shared" si="1"/>
        <v>0</v>
      </c>
      <c r="H44" s="26">
        <f>IF(VLOOKUP(A44,state!$A$2:$G$55,4,FALSE)=VLOOKUP(A44,state!$A$2:$G$55,7,FALSE),D44,0)</f>
        <v>0</v>
      </c>
      <c r="I44" s="26">
        <f>IF(AND(D44&gt;E44,VLOOKUP(A44,state!$A$2:$G$55,5,FALSE)=VLOOKUP(A44,state!$A$2:$G$55,7,FALSE)),D44,0)</f>
        <v>0</v>
      </c>
      <c r="J44" s="26">
        <f>IF(AND(D44&gt;E44,VLOOKUP(A44,state!$A$2:$G$55,5,FALSE)=VLOOKUP(A44,state!$A$2:$G$55,7,FALSE)),E44,0)</f>
        <v>0</v>
      </c>
      <c r="K44" s="26">
        <f>IF(AND(I44=0,VLOOKUP(A44,state!$A$2:$G$55,6,FALSE)&gt;0,VLOOKUP(A44,state!$A$2:$G$55,5,FALSE)=VLOOKUP(A44,state!$A$2:$G$55,7,FALSE)),(VLOOKUP(A44,state!$A$2:$J$55,7,FALSE)-VLOOKUP(A44,state!$A$2:$J$55,10,FALSE))*E44/(VLOOKUP(A44,state!$A$2:$J$55,7,FALSE)-VLOOKUP(A44,state!$A$2:$K$55,11,FALSE)),0)</f>
        <v>0</v>
      </c>
      <c r="L44" s="27">
        <f t="shared" si="2"/>
        <v>0</v>
      </c>
      <c r="M44" s="27">
        <f t="shared" si="3"/>
        <v>0</v>
      </c>
    </row>
    <row r="45" spans="1:13" ht="12.75">
      <c r="A45" s="24" t="s">
        <v>56</v>
      </c>
      <c r="B45" s="25" t="s">
        <v>57</v>
      </c>
      <c r="C45" s="26">
        <f>'cost benchmark'!P54</f>
        <v>0</v>
      </c>
      <c r="D45" s="26">
        <f>'cost benchmark'!Q54*VLOOKUP(A45,'per line'!$A$6:$E$55,5,FALSE)</f>
        <v>0</v>
      </c>
      <c r="E45" s="26">
        <f>'cost benchmark'!F54</f>
        <v>7339776</v>
      </c>
      <c r="F45" s="27">
        <f t="shared" si="0"/>
        <v>7339776</v>
      </c>
      <c r="G45" s="26">
        <f t="shared" si="1"/>
        <v>7339776</v>
      </c>
      <c r="H45" s="26">
        <f>IF(VLOOKUP(A45,state!$A$2:$G$55,4,FALSE)=VLOOKUP(A45,state!$A$2:$G$55,7,FALSE),D45,0)</f>
        <v>0</v>
      </c>
      <c r="I45" s="26">
        <f>IF(AND(D45&gt;E45,VLOOKUP(A45,state!$A$2:$G$55,5,FALSE)=VLOOKUP(A45,state!$A$2:$G$55,7,FALSE)),D45,0)</f>
        <v>0</v>
      </c>
      <c r="J45" s="26">
        <f>IF(AND(D45&gt;E45,VLOOKUP(A45,state!$A$2:$G$55,5,FALSE)=VLOOKUP(A45,state!$A$2:$G$55,7,FALSE)),E45,0)</f>
        <v>0</v>
      </c>
      <c r="K45" s="26">
        <f>IF(AND(I45=0,VLOOKUP(A45,state!$A$2:$G$55,6,FALSE)&gt;0,VLOOKUP(A45,state!$A$2:$G$55,5,FALSE)=VLOOKUP(A45,state!$A$2:$G$55,7,FALSE)),(VLOOKUP(A45,state!$A$2:$J$55,7,FALSE)-VLOOKUP(A45,state!$A$2:$J$55,10,FALSE))*E45/(VLOOKUP(A45,state!$A$2:$J$55,7,FALSE)-VLOOKUP(A45,state!$A$2:$K$55,11,FALSE)),0)</f>
        <v>7339776</v>
      </c>
      <c r="L45" s="27">
        <f t="shared" si="2"/>
        <v>7339776</v>
      </c>
      <c r="M45" s="27">
        <f t="shared" si="3"/>
        <v>0</v>
      </c>
    </row>
    <row r="46" spans="1:13" ht="12.75">
      <c r="A46" s="24" t="s">
        <v>58</v>
      </c>
      <c r="B46" s="25" t="s">
        <v>59</v>
      </c>
      <c r="C46" s="26">
        <f>'cost benchmark'!P55</f>
        <v>0</v>
      </c>
      <c r="D46" s="26">
        <f>'cost benchmark'!Q55*VLOOKUP(A46,'per line'!$A$6:$E$55,5,FALSE)</f>
        <v>0</v>
      </c>
      <c r="E46" s="26">
        <f>'cost benchmark'!F55</f>
        <v>1762620</v>
      </c>
      <c r="F46" s="27">
        <f t="shared" si="0"/>
        <v>1762620</v>
      </c>
      <c r="G46" s="26">
        <f t="shared" si="1"/>
        <v>1762620</v>
      </c>
      <c r="H46" s="26">
        <f>IF(VLOOKUP(A46,state!$A$2:$G$55,4,FALSE)=VLOOKUP(A46,state!$A$2:$G$55,7,FALSE),D46,0)</f>
        <v>0</v>
      </c>
      <c r="I46" s="26">
        <f>IF(AND(D46&gt;E46,VLOOKUP(A46,state!$A$2:$G$55,5,FALSE)=VLOOKUP(A46,state!$A$2:$G$55,7,FALSE)),D46,0)</f>
        <v>0</v>
      </c>
      <c r="J46" s="26">
        <f>IF(AND(D46&gt;E46,VLOOKUP(A46,state!$A$2:$G$55,5,FALSE)=VLOOKUP(A46,state!$A$2:$G$55,7,FALSE)),E46,0)</f>
        <v>0</v>
      </c>
      <c r="K46" s="26">
        <f>IF(AND(I46=0,VLOOKUP(A46,state!$A$2:$G$55,6,FALSE)&gt;0,VLOOKUP(A46,state!$A$2:$G$55,5,FALSE)=VLOOKUP(A46,state!$A$2:$G$55,7,FALSE)),(VLOOKUP(A46,state!$A$2:$J$55,7,FALSE)-VLOOKUP(A46,state!$A$2:$J$55,10,FALSE))*E46/(VLOOKUP(A46,state!$A$2:$J$55,7,FALSE)-VLOOKUP(A46,state!$A$2:$K$55,11,FALSE)),0)</f>
        <v>1762620</v>
      </c>
      <c r="L46" s="27">
        <f t="shared" si="2"/>
        <v>1762620</v>
      </c>
      <c r="M46" s="27">
        <f t="shared" si="3"/>
        <v>0</v>
      </c>
    </row>
    <row r="47" spans="1:13" ht="12.75">
      <c r="A47" s="24" t="s">
        <v>60</v>
      </c>
      <c r="B47" s="25" t="s">
        <v>61</v>
      </c>
      <c r="C47" s="26">
        <f>'cost benchmark'!P56</f>
        <v>0</v>
      </c>
      <c r="D47" s="26">
        <f>'cost benchmark'!Q56*VLOOKUP(A47,'per line'!$A$6:$E$55,5,FALSE)</f>
        <v>0</v>
      </c>
      <c r="E47" s="26">
        <f>'cost benchmark'!F56</f>
        <v>0</v>
      </c>
      <c r="F47" s="27">
        <f t="shared" si="0"/>
        <v>0</v>
      </c>
      <c r="G47" s="26">
        <f t="shared" si="1"/>
        <v>0</v>
      </c>
      <c r="H47" s="26">
        <f>IF(VLOOKUP(A47,state!$A$2:$G$55,4,FALSE)=VLOOKUP(A47,state!$A$2:$G$55,7,FALSE),D47,0)</f>
        <v>0</v>
      </c>
      <c r="I47" s="26">
        <f>IF(AND(D47&gt;E47,VLOOKUP(A47,state!$A$2:$G$55,5,FALSE)=VLOOKUP(A47,state!$A$2:$G$55,7,FALSE)),D47,0)</f>
        <v>0</v>
      </c>
      <c r="J47" s="26">
        <f>IF(AND(D47&gt;E47,VLOOKUP(A47,state!$A$2:$G$55,5,FALSE)=VLOOKUP(A47,state!$A$2:$G$55,7,FALSE)),E47,0)</f>
        <v>0</v>
      </c>
      <c r="K47" s="26">
        <f>IF(AND(I47=0,VLOOKUP(A47,state!$A$2:$G$55,6,FALSE)&gt;0,VLOOKUP(A47,state!$A$2:$G$55,5,FALSE)=VLOOKUP(A47,state!$A$2:$G$55,7,FALSE)),(VLOOKUP(A47,state!$A$2:$J$55,7,FALSE)-VLOOKUP(A47,state!$A$2:$J$55,10,FALSE))*E47/(VLOOKUP(A47,state!$A$2:$J$55,7,FALSE)-VLOOKUP(A47,state!$A$2:$K$55,11,FALSE)),0)</f>
        <v>0</v>
      </c>
      <c r="L47" s="27">
        <f t="shared" si="2"/>
        <v>0</v>
      </c>
      <c r="M47" s="27">
        <f t="shared" si="3"/>
        <v>0</v>
      </c>
    </row>
    <row r="48" spans="1:13" ht="12.75">
      <c r="A48" s="24" t="s">
        <v>60</v>
      </c>
      <c r="B48" s="25" t="s">
        <v>62</v>
      </c>
      <c r="C48" s="26">
        <f>'cost benchmark'!P57</f>
        <v>0</v>
      </c>
      <c r="D48" s="26">
        <f>'cost benchmark'!Q57*VLOOKUP(A48,'per line'!$A$6:$E$55,5,FALSE)</f>
        <v>0</v>
      </c>
      <c r="E48" s="26">
        <f>'cost benchmark'!F57</f>
        <v>0</v>
      </c>
      <c r="F48" s="27">
        <f t="shared" si="0"/>
        <v>0</v>
      </c>
      <c r="G48" s="26">
        <f t="shared" si="1"/>
        <v>0</v>
      </c>
      <c r="H48" s="26">
        <f>IF(VLOOKUP(A48,state!$A$2:$G$55,4,FALSE)=VLOOKUP(A48,state!$A$2:$G$55,7,FALSE),D48,0)</f>
        <v>0</v>
      </c>
      <c r="I48" s="26">
        <f>IF(AND(D48&gt;E48,VLOOKUP(A48,state!$A$2:$G$55,5,FALSE)=VLOOKUP(A48,state!$A$2:$G$55,7,FALSE)),D48,0)</f>
        <v>0</v>
      </c>
      <c r="J48" s="26">
        <f>IF(AND(D48&gt;E48,VLOOKUP(A48,state!$A$2:$G$55,5,FALSE)=VLOOKUP(A48,state!$A$2:$G$55,7,FALSE)),E48,0)</f>
        <v>0</v>
      </c>
      <c r="K48" s="26">
        <f>IF(AND(I48=0,VLOOKUP(A48,state!$A$2:$G$55,6,FALSE)&gt;0,VLOOKUP(A48,state!$A$2:$G$55,5,FALSE)=VLOOKUP(A48,state!$A$2:$G$55,7,FALSE)),(VLOOKUP(A48,state!$A$2:$J$55,7,FALSE)-VLOOKUP(A48,state!$A$2:$J$55,10,FALSE))*E48/(VLOOKUP(A48,state!$A$2:$J$55,7,FALSE)-VLOOKUP(A48,state!$A$2:$K$55,11,FALSE)),0)</f>
        <v>0</v>
      </c>
      <c r="L48" s="27">
        <f t="shared" si="2"/>
        <v>0</v>
      </c>
      <c r="M48" s="27">
        <f t="shared" si="3"/>
        <v>0</v>
      </c>
    </row>
    <row r="49" spans="1:13" ht="12.75">
      <c r="A49" s="24" t="s">
        <v>60</v>
      </c>
      <c r="B49" s="25" t="s">
        <v>159</v>
      </c>
      <c r="C49" s="26">
        <f>'cost benchmark'!P58</f>
        <v>0</v>
      </c>
      <c r="D49" s="26">
        <f>'cost benchmark'!Q58*VLOOKUP(A49,'per line'!$A$6:$E$55,5,FALSE)</f>
        <v>0</v>
      </c>
      <c r="E49" s="26">
        <f>'cost benchmark'!F58</f>
        <v>4430112</v>
      </c>
      <c r="F49" s="27">
        <f t="shared" si="0"/>
        <v>4430112</v>
      </c>
      <c r="G49" s="26">
        <f t="shared" si="1"/>
        <v>4430112</v>
      </c>
      <c r="H49" s="26">
        <f>IF(VLOOKUP(A49,state!$A$2:$G$55,4,FALSE)=VLOOKUP(A49,state!$A$2:$G$55,7,FALSE),D49,0)</f>
        <v>0</v>
      </c>
      <c r="I49" s="26">
        <f>IF(AND(D49&gt;E49,VLOOKUP(A49,state!$A$2:$G$55,5,FALSE)=VLOOKUP(A49,state!$A$2:$G$55,7,FALSE)),D49,0)</f>
        <v>0</v>
      </c>
      <c r="J49" s="26">
        <f>IF(AND(D49&gt;E49,VLOOKUP(A49,state!$A$2:$G$55,5,FALSE)=VLOOKUP(A49,state!$A$2:$G$55,7,FALSE)),E49,0)</f>
        <v>0</v>
      </c>
      <c r="K49" s="26">
        <f>IF(AND(I49=0,VLOOKUP(A49,state!$A$2:$G$55,6,FALSE)&gt;0,VLOOKUP(A49,state!$A$2:$G$55,5,FALSE)=VLOOKUP(A49,state!$A$2:$G$55,7,FALSE)),(VLOOKUP(A49,state!$A$2:$J$55,7,FALSE)-VLOOKUP(A49,state!$A$2:$J$55,10,FALSE))*E49/(VLOOKUP(A49,state!$A$2:$J$55,7,FALSE)-VLOOKUP(A49,state!$A$2:$K$55,11,FALSE)),0)</f>
        <v>4430112</v>
      </c>
      <c r="L49" s="27">
        <f t="shared" si="2"/>
        <v>4430112</v>
      </c>
      <c r="M49" s="27">
        <f t="shared" si="3"/>
        <v>0</v>
      </c>
    </row>
    <row r="50" spans="1:13" ht="12.75">
      <c r="A50" s="24" t="s">
        <v>60</v>
      </c>
      <c r="B50" s="25" t="s">
        <v>144</v>
      </c>
      <c r="C50" s="26">
        <f>'cost benchmark'!P59</f>
        <v>0</v>
      </c>
      <c r="D50" s="26">
        <f>'cost benchmark'!Q59*VLOOKUP(A50,'per line'!$A$6:$E$55,5,FALSE)</f>
        <v>0</v>
      </c>
      <c r="E50" s="26">
        <f>'cost benchmark'!F59</f>
        <v>40596</v>
      </c>
      <c r="F50" s="27">
        <f t="shared" si="0"/>
        <v>40596</v>
      </c>
      <c r="G50" s="26">
        <f t="shared" si="1"/>
        <v>40596</v>
      </c>
      <c r="H50" s="26">
        <f>IF(VLOOKUP(A50,state!$A$2:$G$55,4,FALSE)=VLOOKUP(A50,state!$A$2:$G$55,7,FALSE),D50,0)</f>
        <v>0</v>
      </c>
      <c r="I50" s="26">
        <f>IF(AND(D50&gt;E50,VLOOKUP(A50,state!$A$2:$G$55,5,FALSE)=VLOOKUP(A50,state!$A$2:$G$55,7,FALSE)),D50,0)</f>
        <v>0</v>
      </c>
      <c r="J50" s="26">
        <f>IF(AND(D50&gt;E50,VLOOKUP(A50,state!$A$2:$G$55,5,FALSE)=VLOOKUP(A50,state!$A$2:$G$55,7,FALSE)),E50,0)</f>
        <v>0</v>
      </c>
      <c r="K50" s="26">
        <f>IF(AND(I50=0,VLOOKUP(A50,state!$A$2:$G$55,6,FALSE)&gt;0,VLOOKUP(A50,state!$A$2:$G$55,5,FALSE)=VLOOKUP(A50,state!$A$2:$G$55,7,FALSE)),(VLOOKUP(A50,state!$A$2:$J$55,7,FALSE)-VLOOKUP(A50,state!$A$2:$J$55,10,FALSE))*E50/(VLOOKUP(A50,state!$A$2:$J$55,7,FALSE)-VLOOKUP(A50,state!$A$2:$K$55,11,FALSE)),0)</f>
        <v>40596</v>
      </c>
      <c r="L50" s="27">
        <f t="shared" si="2"/>
        <v>40596</v>
      </c>
      <c r="M50" s="27">
        <f t="shared" si="3"/>
        <v>0</v>
      </c>
    </row>
    <row r="51" spans="1:13" ht="12.75">
      <c r="A51" s="24" t="s">
        <v>60</v>
      </c>
      <c r="B51" s="25" t="s">
        <v>63</v>
      </c>
      <c r="C51" s="26">
        <f>'cost benchmark'!P60</f>
        <v>0</v>
      </c>
      <c r="D51" s="26">
        <f>'cost benchmark'!Q60*VLOOKUP(A51,'per line'!$A$6:$E$55,5,FALSE)</f>
        <v>0</v>
      </c>
      <c r="E51" s="26">
        <f>'cost benchmark'!F60</f>
        <v>2469732</v>
      </c>
      <c r="F51" s="27">
        <f t="shared" si="0"/>
        <v>2469732</v>
      </c>
      <c r="G51" s="26">
        <f t="shared" si="1"/>
        <v>2469732</v>
      </c>
      <c r="H51" s="26">
        <f>IF(VLOOKUP(A51,state!$A$2:$G$55,4,FALSE)=VLOOKUP(A51,state!$A$2:$G$55,7,FALSE),D51,0)</f>
        <v>0</v>
      </c>
      <c r="I51" s="26">
        <f>IF(AND(D51&gt;E51,VLOOKUP(A51,state!$A$2:$G$55,5,FALSE)=VLOOKUP(A51,state!$A$2:$G$55,7,FALSE)),D51,0)</f>
        <v>0</v>
      </c>
      <c r="J51" s="26">
        <f>IF(AND(D51&gt;E51,VLOOKUP(A51,state!$A$2:$G$55,5,FALSE)=VLOOKUP(A51,state!$A$2:$G$55,7,FALSE)),E51,0)</f>
        <v>0</v>
      </c>
      <c r="K51" s="26">
        <f>IF(AND(I51=0,VLOOKUP(A51,state!$A$2:$G$55,6,FALSE)&gt;0,VLOOKUP(A51,state!$A$2:$G$55,5,FALSE)=VLOOKUP(A51,state!$A$2:$G$55,7,FALSE)),(VLOOKUP(A51,state!$A$2:$J$55,7,FALSE)-VLOOKUP(A51,state!$A$2:$J$55,10,FALSE))*E51/(VLOOKUP(A51,state!$A$2:$J$55,7,FALSE)-VLOOKUP(A51,state!$A$2:$K$55,11,FALSE)),0)</f>
        <v>2469732</v>
      </c>
      <c r="L51" s="27">
        <f t="shared" si="2"/>
        <v>2469732</v>
      </c>
      <c r="M51" s="27">
        <f t="shared" si="3"/>
        <v>0</v>
      </c>
    </row>
    <row r="52" spans="1:13" ht="12.75">
      <c r="A52" s="24" t="s">
        <v>60</v>
      </c>
      <c r="B52" s="25" t="s">
        <v>64</v>
      </c>
      <c r="C52" s="26">
        <f>'cost benchmark'!P61</f>
        <v>0</v>
      </c>
      <c r="D52" s="26">
        <f>'cost benchmark'!Q61*VLOOKUP(A52,'per line'!$A$6:$E$55,5,FALSE)</f>
        <v>0</v>
      </c>
      <c r="E52" s="26">
        <f>'cost benchmark'!F61</f>
        <v>1786068</v>
      </c>
      <c r="F52" s="27">
        <f t="shared" si="0"/>
        <v>1786068</v>
      </c>
      <c r="G52" s="26">
        <f t="shared" si="1"/>
        <v>1786068</v>
      </c>
      <c r="H52" s="26">
        <f>IF(VLOOKUP(A52,state!$A$2:$G$55,4,FALSE)=VLOOKUP(A52,state!$A$2:$G$55,7,FALSE),D52,0)</f>
        <v>0</v>
      </c>
      <c r="I52" s="26">
        <f>IF(AND(D52&gt;E52,VLOOKUP(A52,state!$A$2:$G$55,5,FALSE)=VLOOKUP(A52,state!$A$2:$G$55,7,FALSE)),D52,0)</f>
        <v>0</v>
      </c>
      <c r="J52" s="26">
        <f>IF(AND(D52&gt;E52,VLOOKUP(A52,state!$A$2:$G$55,5,FALSE)=VLOOKUP(A52,state!$A$2:$G$55,7,FALSE)),E52,0)</f>
        <v>0</v>
      </c>
      <c r="K52" s="26">
        <f>IF(AND(I52=0,VLOOKUP(A52,state!$A$2:$G$55,6,FALSE)&gt;0,VLOOKUP(A52,state!$A$2:$G$55,5,FALSE)=VLOOKUP(A52,state!$A$2:$G$55,7,FALSE)),(VLOOKUP(A52,state!$A$2:$J$55,7,FALSE)-VLOOKUP(A52,state!$A$2:$J$55,10,FALSE))*E52/(VLOOKUP(A52,state!$A$2:$J$55,7,FALSE)-VLOOKUP(A52,state!$A$2:$K$55,11,FALSE)),0)</f>
        <v>1786068</v>
      </c>
      <c r="L52" s="27">
        <f t="shared" si="2"/>
        <v>1786068</v>
      </c>
      <c r="M52" s="27">
        <f t="shared" si="3"/>
        <v>0</v>
      </c>
    </row>
    <row r="53" spans="1:13" ht="12.75">
      <c r="A53" s="24" t="s">
        <v>65</v>
      </c>
      <c r="B53" s="25" t="s">
        <v>66</v>
      </c>
      <c r="C53" s="26">
        <f>'cost benchmark'!P62</f>
        <v>0</v>
      </c>
      <c r="D53" s="26">
        <f>'cost benchmark'!Q62*VLOOKUP(A53,'per line'!$A$6:$E$55,5,FALSE)</f>
        <v>0</v>
      </c>
      <c r="E53" s="26">
        <f>'cost benchmark'!F62</f>
        <v>0</v>
      </c>
      <c r="F53" s="27">
        <f t="shared" si="0"/>
        <v>0</v>
      </c>
      <c r="G53" s="26">
        <f t="shared" si="1"/>
        <v>0</v>
      </c>
      <c r="H53" s="26">
        <f>IF(VLOOKUP(A53,state!$A$2:$G$55,4,FALSE)=VLOOKUP(A53,state!$A$2:$G$55,7,FALSE),D53,0)</f>
        <v>0</v>
      </c>
      <c r="I53" s="26">
        <f>IF(AND(D53&gt;E53,VLOOKUP(A53,state!$A$2:$G$55,5,FALSE)=VLOOKUP(A53,state!$A$2:$G$55,7,FALSE)),D53,0)</f>
        <v>0</v>
      </c>
      <c r="J53" s="26">
        <f>IF(AND(D53&gt;E53,VLOOKUP(A53,state!$A$2:$G$55,5,FALSE)=VLOOKUP(A53,state!$A$2:$G$55,7,FALSE)),E53,0)</f>
        <v>0</v>
      </c>
      <c r="K53" s="26">
        <f>IF(AND(I53=0,VLOOKUP(A53,state!$A$2:$G$55,6,FALSE)&gt;0,VLOOKUP(A53,state!$A$2:$G$55,5,FALSE)=VLOOKUP(A53,state!$A$2:$G$55,7,FALSE)),(VLOOKUP(A53,state!$A$2:$J$55,7,FALSE)-VLOOKUP(A53,state!$A$2:$J$55,10,FALSE))*E53/(VLOOKUP(A53,state!$A$2:$J$55,7,FALSE)-VLOOKUP(A53,state!$A$2:$K$55,11,FALSE)),0)</f>
        <v>0</v>
      </c>
      <c r="L53" s="27">
        <f t="shared" si="2"/>
        <v>0</v>
      </c>
      <c r="M53" s="27">
        <f t="shared" si="3"/>
        <v>0</v>
      </c>
    </row>
    <row r="54" spans="1:13" ht="12.75">
      <c r="A54" s="24" t="s">
        <v>67</v>
      </c>
      <c r="B54" s="25" t="s">
        <v>68</v>
      </c>
      <c r="C54" s="26">
        <f>'cost benchmark'!P63</f>
        <v>0</v>
      </c>
      <c r="D54" s="26">
        <f>'cost benchmark'!Q63*VLOOKUP(A54,'per line'!$A$6:$E$55,5,FALSE)</f>
        <v>0</v>
      </c>
      <c r="E54" s="26">
        <f>'cost benchmark'!F63</f>
        <v>0</v>
      </c>
      <c r="F54" s="27">
        <f t="shared" si="0"/>
        <v>0</v>
      </c>
      <c r="G54" s="26">
        <f t="shared" si="1"/>
        <v>0</v>
      </c>
      <c r="H54" s="26">
        <f>IF(VLOOKUP(A54,state!$A$2:$G$55,4,FALSE)=VLOOKUP(A54,state!$A$2:$G$55,7,FALSE),D54,0)</f>
        <v>0</v>
      </c>
      <c r="I54" s="26">
        <f>IF(AND(D54&gt;E54,VLOOKUP(A54,state!$A$2:$G$55,5,FALSE)=VLOOKUP(A54,state!$A$2:$G$55,7,FALSE)),D54,0)</f>
        <v>0</v>
      </c>
      <c r="J54" s="26">
        <f>IF(AND(D54&gt;E54,VLOOKUP(A54,state!$A$2:$G$55,5,FALSE)=VLOOKUP(A54,state!$A$2:$G$55,7,FALSE)),E54,0)</f>
        <v>0</v>
      </c>
      <c r="K54" s="26">
        <f>IF(AND(I54=0,VLOOKUP(A54,state!$A$2:$G$55,6,FALSE)&gt;0,VLOOKUP(A54,state!$A$2:$G$55,5,FALSE)=VLOOKUP(A54,state!$A$2:$G$55,7,FALSE)),(VLOOKUP(A54,state!$A$2:$J$55,7,FALSE)-VLOOKUP(A54,state!$A$2:$J$55,10,FALSE))*E54/(VLOOKUP(A54,state!$A$2:$J$55,7,FALSE)-VLOOKUP(A54,state!$A$2:$K$55,11,FALSE)),0)</f>
        <v>0</v>
      </c>
      <c r="L54" s="27">
        <f t="shared" si="2"/>
        <v>0</v>
      </c>
      <c r="M54" s="27">
        <f t="shared" si="3"/>
        <v>0</v>
      </c>
    </row>
    <row r="55" spans="1:13" ht="12.75">
      <c r="A55" s="24" t="s">
        <v>67</v>
      </c>
      <c r="B55" s="25" t="s">
        <v>69</v>
      </c>
      <c r="C55" s="26">
        <f>'cost benchmark'!P64</f>
        <v>0</v>
      </c>
      <c r="D55" s="26">
        <f>'cost benchmark'!Q64*VLOOKUP(A55,'per line'!$A$6:$E$55,5,FALSE)</f>
        <v>0</v>
      </c>
      <c r="E55" s="26">
        <f>'cost benchmark'!F64</f>
        <v>0</v>
      </c>
      <c r="F55" s="27">
        <f t="shared" si="0"/>
        <v>0</v>
      </c>
      <c r="G55" s="26">
        <f t="shared" si="1"/>
        <v>0</v>
      </c>
      <c r="H55" s="26">
        <f>IF(VLOOKUP(A55,state!$A$2:$G$55,4,FALSE)=VLOOKUP(A55,state!$A$2:$G$55,7,FALSE),D55,0)</f>
        <v>0</v>
      </c>
      <c r="I55" s="26">
        <f>IF(AND(D55&gt;E55,VLOOKUP(A55,state!$A$2:$G$55,5,FALSE)=VLOOKUP(A55,state!$A$2:$G$55,7,FALSE)),D55,0)</f>
        <v>0</v>
      </c>
      <c r="J55" s="26">
        <f>IF(AND(D55&gt;E55,VLOOKUP(A55,state!$A$2:$G$55,5,FALSE)=VLOOKUP(A55,state!$A$2:$G$55,7,FALSE)),E55,0)</f>
        <v>0</v>
      </c>
      <c r="K55" s="26">
        <f>IF(AND(I55=0,VLOOKUP(A55,state!$A$2:$G$55,6,FALSE)&gt;0,VLOOKUP(A55,state!$A$2:$G$55,5,FALSE)=VLOOKUP(A55,state!$A$2:$G$55,7,FALSE)),(VLOOKUP(A55,state!$A$2:$J$55,7,FALSE)-VLOOKUP(A55,state!$A$2:$J$55,10,FALSE))*E55/(VLOOKUP(A55,state!$A$2:$J$55,7,FALSE)-VLOOKUP(A55,state!$A$2:$K$55,11,FALSE)),0)</f>
        <v>0</v>
      </c>
      <c r="L55" s="27">
        <f t="shared" si="2"/>
        <v>0</v>
      </c>
      <c r="M55" s="27">
        <f t="shared" si="3"/>
        <v>0</v>
      </c>
    </row>
    <row r="56" spans="1:13" ht="12.75">
      <c r="A56" s="24" t="s">
        <v>70</v>
      </c>
      <c r="B56" s="25" t="s">
        <v>71</v>
      </c>
      <c r="C56" s="26">
        <f>'cost benchmark'!P65</f>
        <v>0</v>
      </c>
      <c r="D56" s="26">
        <f>'cost benchmark'!Q65*VLOOKUP(A56,'per line'!$A$6:$E$55,5,FALSE)</f>
        <v>0</v>
      </c>
      <c r="E56" s="26">
        <f>'cost benchmark'!F65</f>
        <v>0</v>
      </c>
      <c r="F56" s="27">
        <f t="shared" si="0"/>
        <v>0</v>
      </c>
      <c r="G56" s="26">
        <f t="shared" si="1"/>
        <v>0</v>
      </c>
      <c r="H56" s="26">
        <f>IF(VLOOKUP(A56,state!$A$2:$G$55,4,FALSE)=VLOOKUP(A56,state!$A$2:$G$55,7,FALSE),D56,0)</f>
        <v>0</v>
      </c>
      <c r="I56" s="26">
        <f>IF(AND(D56&gt;E56,VLOOKUP(A56,state!$A$2:$G$55,5,FALSE)=VLOOKUP(A56,state!$A$2:$G$55,7,FALSE)),D56,0)</f>
        <v>0</v>
      </c>
      <c r="J56" s="26">
        <f>IF(AND(D56&gt;E56,VLOOKUP(A56,state!$A$2:$G$55,5,FALSE)=VLOOKUP(A56,state!$A$2:$G$55,7,FALSE)),E56,0)</f>
        <v>0</v>
      </c>
      <c r="K56" s="26">
        <f>IF(AND(I56=0,VLOOKUP(A56,state!$A$2:$G$55,6,FALSE)&gt;0,VLOOKUP(A56,state!$A$2:$G$55,5,FALSE)=VLOOKUP(A56,state!$A$2:$G$55,7,FALSE)),(VLOOKUP(A56,state!$A$2:$J$55,7,FALSE)-VLOOKUP(A56,state!$A$2:$J$55,10,FALSE))*E56/(VLOOKUP(A56,state!$A$2:$J$55,7,FALSE)-VLOOKUP(A56,state!$A$2:$K$55,11,FALSE)),0)</f>
        <v>0</v>
      </c>
      <c r="L56" s="27">
        <f t="shared" si="2"/>
        <v>0</v>
      </c>
      <c r="M56" s="27">
        <f t="shared" si="3"/>
        <v>0</v>
      </c>
    </row>
    <row r="57" spans="1:13" ht="12.75">
      <c r="A57" s="24" t="s">
        <v>72</v>
      </c>
      <c r="B57" s="25" t="s">
        <v>73</v>
      </c>
      <c r="C57" s="26">
        <f>'cost benchmark'!P66</f>
        <v>0</v>
      </c>
      <c r="D57" s="26">
        <f>'cost benchmark'!Q66*VLOOKUP(A57,'per line'!$A$6:$E$55,5,FALSE)</f>
        <v>0</v>
      </c>
      <c r="E57" s="26">
        <f>'cost benchmark'!F66</f>
        <v>0</v>
      </c>
      <c r="F57" s="27">
        <f t="shared" si="0"/>
        <v>0</v>
      </c>
      <c r="G57" s="26">
        <f t="shared" si="1"/>
        <v>0</v>
      </c>
      <c r="H57" s="26">
        <f>IF(VLOOKUP(A57,state!$A$2:$G$55,4,FALSE)=VLOOKUP(A57,state!$A$2:$G$55,7,FALSE),D57,0)</f>
        <v>0</v>
      </c>
      <c r="I57" s="26">
        <f>IF(AND(D57&gt;E57,VLOOKUP(A57,state!$A$2:$G$55,5,FALSE)=VLOOKUP(A57,state!$A$2:$G$55,7,FALSE)),D57,0)</f>
        <v>0</v>
      </c>
      <c r="J57" s="26">
        <f>IF(AND(D57&gt;E57,VLOOKUP(A57,state!$A$2:$G$55,5,FALSE)=VLOOKUP(A57,state!$A$2:$G$55,7,FALSE)),E57,0)</f>
        <v>0</v>
      </c>
      <c r="K57" s="26">
        <f>IF(AND(I57=0,VLOOKUP(A57,state!$A$2:$G$55,6,FALSE)&gt;0,VLOOKUP(A57,state!$A$2:$G$55,5,FALSE)=VLOOKUP(A57,state!$A$2:$G$55,7,FALSE)),(VLOOKUP(A57,state!$A$2:$J$55,7,FALSE)-VLOOKUP(A57,state!$A$2:$J$55,10,FALSE))*E57/(VLOOKUP(A57,state!$A$2:$J$55,7,FALSE)-VLOOKUP(A57,state!$A$2:$K$55,11,FALSE)),0)</f>
        <v>0</v>
      </c>
      <c r="L57" s="27">
        <f t="shared" si="2"/>
        <v>0</v>
      </c>
      <c r="M57" s="27">
        <f t="shared" si="3"/>
        <v>0</v>
      </c>
    </row>
    <row r="58" spans="1:13" ht="12.75">
      <c r="A58" s="24" t="s">
        <v>74</v>
      </c>
      <c r="B58" s="25" t="s">
        <v>75</v>
      </c>
      <c r="C58" s="26">
        <f>'cost benchmark'!P67</f>
        <v>0</v>
      </c>
      <c r="D58" s="26">
        <f>'cost benchmark'!Q67*VLOOKUP(A58,'per line'!$A$6:$E$55,5,FALSE)</f>
        <v>0</v>
      </c>
      <c r="E58" s="26">
        <f>'cost benchmark'!F67</f>
        <v>4603776</v>
      </c>
      <c r="F58" s="27">
        <f t="shared" si="0"/>
        <v>4603776</v>
      </c>
      <c r="G58" s="26">
        <f t="shared" si="1"/>
        <v>4603776</v>
      </c>
      <c r="H58" s="26">
        <f>IF(VLOOKUP(A58,state!$A$2:$G$55,4,FALSE)=VLOOKUP(A58,state!$A$2:$G$55,7,FALSE),D58,0)</f>
        <v>0</v>
      </c>
      <c r="I58" s="26">
        <f>IF(AND(D58&gt;E58,VLOOKUP(A58,state!$A$2:$G$55,5,FALSE)=VLOOKUP(A58,state!$A$2:$G$55,7,FALSE)),D58,0)</f>
        <v>0</v>
      </c>
      <c r="J58" s="26">
        <f>IF(AND(D58&gt;E58,VLOOKUP(A58,state!$A$2:$G$55,5,FALSE)=VLOOKUP(A58,state!$A$2:$G$55,7,FALSE)),E58,0)</f>
        <v>0</v>
      </c>
      <c r="K58" s="26">
        <f>IF(AND(I58=0,VLOOKUP(A58,state!$A$2:$G$55,6,FALSE)&gt;0,VLOOKUP(A58,state!$A$2:$G$55,5,FALSE)=VLOOKUP(A58,state!$A$2:$G$55,7,FALSE)),(VLOOKUP(A58,state!$A$2:$J$55,7,FALSE)-VLOOKUP(A58,state!$A$2:$J$55,10,FALSE))*E58/(VLOOKUP(A58,state!$A$2:$J$55,7,FALSE)-VLOOKUP(A58,state!$A$2:$K$55,11,FALSE)),0)</f>
        <v>4603776</v>
      </c>
      <c r="L58" s="27">
        <f t="shared" si="2"/>
        <v>4603776</v>
      </c>
      <c r="M58" s="27">
        <f t="shared" si="3"/>
        <v>0</v>
      </c>
    </row>
    <row r="59" spans="1:13" ht="12.75">
      <c r="A59" s="24" t="s">
        <v>76</v>
      </c>
      <c r="B59" s="25" t="s">
        <v>77</v>
      </c>
      <c r="C59" s="26">
        <f>'cost benchmark'!P68</f>
        <v>0</v>
      </c>
      <c r="D59" s="26">
        <f>'cost benchmark'!Q68*VLOOKUP(A59,'per line'!$A$6:$E$55,5,FALSE)</f>
        <v>0</v>
      </c>
      <c r="E59" s="26">
        <f>'cost benchmark'!F68</f>
        <v>0</v>
      </c>
      <c r="F59" s="27">
        <f t="shared" si="0"/>
        <v>0</v>
      </c>
      <c r="G59" s="26">
        <f t="shared" si="1"/>
        <v>0</v>
      </c>
      <c r="H59" s="26">
        <f>IF(VLOOKUP(A59,state!$A$2:$G$55,4,FALSE)=VLOOKUP(A59,state!$A$2:$G$55,7,FALSE),D59,0)</f>
        <v>0</v>
      </c>
      <c r="I59" s="26">
        <f>IF(AND(D59&gt;E59,VLOOKUP(A59,state!$A$2:$G$55,5,FALSE)=VLOOKUP(A59,state!$A$2:$G$55,7,FALSE)),D59,0)</f>
        <v>0</v>
      </c>
      <c r="J59" s="26">
        <f>IF(AND(D59&gt;E59,VLOOKUP(A59,state!$A$2:$G$55,5,FALSE)=VLOOKUP(A59,state!$A$2:$G$55,7,FALSE)),E59,0)</f>
        <v>0</v>
      </c>
      <c r="K59" s="26">
        <f>IF(AND(I59=0,VLOOKUP(A59,state!$A$2:$G$55,6,FALSE)&gt;0,VLOOKUP(A59,state!$A$2:$G$55,5,FALSE)=VLOOKUP(A59,state!$A$2:$G$55,7,FALSE)),(VLOOKUP(A59,state!$A$2:$J$55,7,FALSE)-VLOOKUP(A59,state!$A$2:$J$55,10,FALSE))*E59/(VLOOKUP(A59,state!$A$2:$J$55,7,FALSE)-VLOOKUP(A59,state!$A$2:$K$55,11,FALSE)),0)</f>
        <v>0</v>
      </c>
      <c r="L59" s="27">
        <f t="shared" si="2"/>
        <v>0</v>
      </c>
      <c r="M59" s="27">
        <f t="shared" si="3"/>
        <v>0</v>
      </c>
    </row>
    <row r="60" spans="1:13" ht="12.75">
      <c r="A60" s="24" t="s">
        <v>76</v>
      </c>
      <c r="B60" s="25" t="s">
        <v>78</v>
      </c>
      <c r="C60" s="26">
        <f>'cost benchmark'!P69</f>
        <v>0</v>
      </c>
      <c r="D60" s="26">
        <f>'cost benchmark'!Q69*VLOOKUP(A60,'per line'!$A$6:$E$55,5,FALSE)</f>
        <v>0</v>
      </c>
      <c r="E60" s="26">
        <f>'cost benchmark'!F69</f>
        <v>0</v>
      </c>
      <c r="F60" s="27">
        <f t="shared" si="0"/>
        <v>0</v>
      </c>
      <c r="G60" s="26">
        <f t="shared" si="1"/>
        <v>0</v>
      </c>
      <c r="H60" s="26">
        <f>IF(VLOOKUP(A60,state!$A$2:$G$55,4,FALSE)=VLOOKUP(A60,state!$A$2:$G$55,7,FALSE),D60,0)</f>
        <v>0</v>
      </c>
      <c r="I60" s="26">
        <f>IF(AND(D60&gt;E60,VLOOKUP(A60,state!$A$2:$G$55,5,FALSE)=VLOOKUP(A60,state!$A$2:$G$55,7,FALSE)),D60,0)</f>
        <v>0</v>
      </c>
      <c r="J60" s="26">
        <f>IF(AND(D60&gt;E60,VLOOKUP(A60,state!$A$2:$G$55,5,FALSE)=VLOOKUP(A60,state!$A$2:$G$55,7,FALSE)),E60,0)</f>
        <v>0</v>
      </c>
      <c r="K60" s="26">
        <f>IF(AND(I60=0,VLOOKUP(A60,state!$A$2:$G$55,6,FALSE)&gt;0,VLOOKUP(A60,state!$A$2:$G$55,5,FALSE)=VLOOKUP(A60,state!$A$2:$G$55,7,FALSE)),(VLOOKUP(A60,state!$A$2:$J$55,7,FALSE)-VLOOKUP(A60,state!$A$2:$J$55,10,FALSE))*E60/(VLOOKUP(A60,state!$A$2:$J$55,7,FALSE)-VLOOKUP(A60,state!$A$2:$K$55,11,FALSE)),0)</f>
        <v>0</v>
      </c>
      <c r="L60" s="27">
        <f t="shared" si="2"/>
        <v>0</v>
      </c>
      <c r="M60" s="27">
        <f t="shared" si="3"/>
        <v>0</v>
      </c>
    </row>
    <row r="61" spans="1:13" ht="12.75">
      <c r="A61" s="24" t="s">
        <v>79</v>
      </c>
      <c r="B61" s="25" t="s">
        <v>80</v>
      </c>
      <c r="C61" s="26">
        <f>'cost benchmark'!P70</f>
        <v>0</v>
      </c>
      <c r="D61" s="26">
        <f>'cost benchmark'!Q70*VLOOKUP(A61,'per line'!$A$6:$E$55,5,FALSE)</f>
        <v>0</v>
      </c>
      <c r="E61" s="26">
        <f>'cost benchmark'!F70</f>
        <v>0</v>
      </c>
      <c r="F61" s="27">
        <f t="shared" si="0"/>
        <v>0</v>
      </c>
      <c r="G61" s="26">
        <f t="shared" si="1"/>
        <v>0</v>
      </c>
      <c r="H61" s="26">
        <f>IF(VLOOKUP(A61,state!$A$2:$G$55,4,FALSE)=VLOOKUP(A61,state!$A$2:$G$55,7,FALSE),D61,0)</f>
        <v>0</v>
      </c>
      <c r="I61" s="26">
        <f>IF(AND(D61&gt;E61,VLOOKUP(A61,state!$A$2:$G$55,5,FALSE)=VLOOKUP(A61,state!$A$2:$G$55,7,FALSE)),D61,0)</f>
        <v>0</v>
      </c>
      <c r="J61" s="26">
        <f>IF(AND(D61&gt;E61,VLOOKUP(A61,state!$A$2:$G$55,5,FALSE)=VLOOKUP(A61,state!$A$2:$G$55,7,FALSE)),E61,0)</f>
        <v>0</v>
      </c>
      <c r="K61" s="26">
        <f>IF(AND(I61=0,VLOOKUP(A61,state!$A$2:$G$55,6,FALSE)&gt;0,VLOOKUP(A61,state!$A$2:$G$55,5,FALSE)=VLOOKUP(A61,state!$A$2:$G$55,7,FALSE)),(VLOOKUP(A61,state!$A$2:$J$55,7,FALSE)-VLOOKUP(A61,state!$A$2:$J$55,10,FALSE))*E61/(VLOOKUP(A61,state!$A$2:$J$55,7,FALSE)-VLOOKUP(A61,state!$A$2:$K$55,11,FALSE)),0)</f>
        <v>0</v>
      </c>
      <c r="L61" s="27">
        <f t="shared" si="2"/>
        <v>0</v>
      </c>
      <c r="M61" s="27">
        <f t="shared" si="3"/>
        <v>0</v>
      </c>
    </row>
    <row r="62" spans="1:13" ht="12.75">
      <c r="A62" s="24" t="s">
        <v>79</v>
      </c>
      <c r="B62" s="25" t="s">
        <v>81</v>
      </c>
      <c r="C62" s="26">
        <f>'cost benchmark'!P71</f>
        <v>0</v>
      </c>
      <c r="D62" s="26">
        <f>'cost benchmark'!Q71*VLOOKUP(A62,'per line'!$A$6:$E$55,5,FALSE)</f>
        <v>0</v>
      </c>
      <c r="E62" s="26">
        <f>'cost benchmark'!F71</f>
        <v>0</v>
      </c>
      <c r="F62" s="27">
        <f t="shared" si="0"/>
        <v>0</v>
      </c>
      <c r="G62" s="26">
        <f t="shared" si="1"/>
        <v>0</v>
      </c>
      <c r="H62" s="26">
        <f>IF(VLOOKUP(A62,state!$A$2:$G$55,4,FALSE)=VLOOKUP(A62,state!$A$2:$G$55,7,FALSE),D62,0)</f>
        <v>0</v>
      </c>
      <c r="I62" s="26">
        <f>IF(AND(D62&gt;E62,VLOOKUP(A62,state!$A$2:$G$55,5,FALSE)=VLOOKUP(A62,state!$A$2:$G$55,7,FALSE)),D62,0)</f>
        <v>0</v>
      </c>
      <c r="J62" s="26">
        <f>IF(AND(D62&gt;E62,VLOOKUP(A62,state!$A$2:$G$55,5,FALSE)=VLOOKUP(A62,state!$A$2:$G$55,7,FALSE)),E62,0)</f>
        <v>0</v>
      </c>
      <c r="K62" s="26">
        <f>IF(AND(I62=0,VLOOKUP(A62,state!$A$2:$G$55,6,FALSE)&gt;0,VLOOKUP(A62,state!$A$2:$G$55,5,FALSE)=VLOOKUP(A62,state!$A$2:$G$55,7,FALSE)),(VLOOKUP(A62,state!$A$2:$J$55,7,FALSE)-VLOOKUP(A62,state!$A$2:$J$55,10,FALSE))*E62/(VLOOKUP(A62,state!$A$2:$J$55,7,FALSE)-VLOOKUP(A62,state!$A$2:$K$55,11,FALSE)),0)</f>
        <v>0</v>
      </c>
      <c r="L62" s="27">
        <f t="shared" si="2"/>
        <v>0</v>
      </c>
      <c r="M62" s="27">
        <f t="shared" si="3"/>
        <v>0</v>
      </c>
    </row>
    <row r="63" spans="1:13" ht="12.75">
      <c r="A63" s="24" t="s">
        <v>82</v>
      </c>
      <c r="B63" s="25" t="s">
        <v>83</v>
      </c>
      <c r="C63" s="26">
        <f>'cost benchmark'!P72</f>
        <v>0</v>
      </c>
      <c r="D63" s="26">
        <f>'cost benchmark'!Q72*VLOOKUP(A63,'per line'!$A$6:$E$55,5,FALSE)</f>
        <v>0</v>
      </c>
      <c r="E63" s="26">
        <f>'cost benchmark'!F72</f>
        <v>0</v>
      </c>
      <c r="F63" s="27">
        <f t="shared" si="0"/>
        <v>0</v>
      </c>
      <c r="G63" s="26">
        <f t="shared" si="1"/>
        <v>0</v>
      </c>
      <c r="H63" s="26">
        <f>IF(VLOOKUP(A63,state!$A$2:$G$55,4,FALSE)=VLOOKUP(A63,state!$A$2:$G$55,7,FALSE),D63,0)</f>
        <v>0</v>
      </c>
      <c r="I63" s="26">
        <f>IF(AND(D63&gt;E63,VLOOKUP(A63,state!$A$2:$G$55,5,FALSE)=VLOOKUP(A63,state!$A$2:$G$55,7,FALSE)),D63,0)</f>
        <v>0</v>
      </c>
      <c r="J63" s="26">
        <f>IF(AND(D63&gt;E63,VLOOKUP(A63,state!$A$2:$G$55,5,FALSE)=VLOOKUP(A63,state!$A$2:$G$55,7,FALSE)),E63,0)</f>
        <v>0</v>
      </c>
      <c r="K63" s="26">
        <f>IF(AND(I63=0,VLOOKUP(A63,state!$A$2:$G$55,6,FALSE)&gt;0,VLOOKUP(A63,state!$A$2:$G$55,5,FALSE)=VLOOKUP(A63,state!$A$2:$G$55,7,FALSE)),(VLOOKUP(A63,state!$A$2:$J$55,7,FALSE)-VLOOKUP(A63,state!$A$2:$J$55,10,FALSE))*E63/(VLOOKUP(A63,state!$A$2:$J$55,7,FALSE)-VLOOKUP(A63,state!$A$2:$K$55,11,FALSE)),0)</f>
        <v>0</v>
      </c>
      <c r="L63" s="27">
        <f t="shared" si="2"/>
        <v>0</v>
      </c>
      <c r="M63" s="27">
        <f t="shared" si="3"/>
        <v>0</v>
      </c>
    </row>
    <row r="64" spans="1:13" ht="12.75">
      <c r="A64" s="24" t="s">
        <v>82</v>
      </c>
      <c r="B64" s="25" t="s">
        <v>145</v>
      </c>
      <c r="C64" s="26">
        <f>'cost benchmark'!P73</f>
        <v>0</v>
      </c>
      <c r="D64" s="26">
        <f>'cost benchmark'!Q73*VLOOKUP(A64,'per line'!$A$6:$E$55,5,FALSE)</f>
        <v>0</v>
      </c>
      <c r="E64" s="26">
        <f>'cost benchmark'!F73</f>
        <v>0</v>
      </c>
      <c r="F64" s="27">
        <f t="shared" si="0"/>
        <v>0</v>
      </c>
      <c r="G64" s="26">
        <f t="shared" si="1"/>
        <v>0</v>
      </c>
      <c r="H64" s="26">
        <f>IF(VLOOKUP(A64,state!$A$2:$G$55,4,FALSE)=VLOOKUP(A64,state!$A$2:$G$55,7,FALSE),D64,0)</f>
        <v>0</v>
      </c>
      <c r="I64" s="26">
        <f>IF(AND(D64&gt;E64,VLOOKUP(A64,state!$A$2:$G$55,5,FALSE)=VLOOKUP(A64,state!$A$2:$G$55,7,FALSE)),D64,0)</f>
        <v>0</v>
      </c>
      <c r="J64" s="26">
        <f>IF(AND(D64&gt;E64,VLOOKUP(A64,state!$A$2:$G$55,5,FALSE)=VLOOKUP(A64,state!$A$2:$G$55,7,FALSE)),E64,0)</f>
        <v>0</v>
      </c>
      <c r="K64" s="26">
        <f>IF(AND(I64=0,VLOOKUP(A64,state!$A$2:$G$55,6,FALSE)&gt;0,VLOOKUP(A64,state!$A$2:$G$55,5,FALSE)=VLOOKUP(A64,state!$A$2:$G$55,7,FALSE)),(VLOOKUP(A64,state!$A$2:$J$55,7,FALSE)-VLOOKUP(A64,state!$A$2:$J$55,10,FALSE))*E64/(VLOOKUP(A64,state!$A$2:$J$55,7,FALSE)-VLOOKUP(A64,state!$A$2:$K$55,11,FALSE)),0)</f>
        <v>0</v>
      </c>
      <c r="L64" s="27">
        <f t="shared" si="2"/>
        <v>0</v>
      </c>
      <c r="M64" s="27">
        <f t="shared" si="3"/>
        <v>0</v>
      </c>
    </row>
    <row r="65" spans="1:13" ht="12.75">
      <c r="A65" s="24" t="s">
        <v>82</v>
      </c>
      <c r="B65" s="25" t="s">
        <v>84</v>
      </c>
      <c r="C65" s="26">
        <f>'cost benchmark'!P74</f>
        <v>0</v>
      </c>
      <c r="D65" s="26">
        <f>'cost benchmark'!Q74*VLOOKUP(A65,'per line'!$A$6:$E$55,5,FALSE)</f>
        <v>0</v>
      </c>
      <c r="E65" s="26">
        <f>'cost benchmark'!F74</f>
        <v>0</v>
      </c>
      <c r="F65" s="27">
        <f t="shared" si="0"/>
        <v>0</v>
      </c>
      <c r="G65" s="26">
        <f t="shared" si="1"/>
        <v>0</v>
      </c>
      <c r="H65" s="26">
        <f>IF(VLOOKUP(A65,state!$A$2:$G$55,4,FALSE)=VLOOKUP(A65,state!$A$2:$G$55,7,FALSE),D65,0)</f>
        <v>0</v>
      </c>
      <c r="I65" s="26">
        <f>IF(AND(D65&gt;E65,VLOOKUP(A65,state!$A$2:$G$55,5,FALSE)=VLOOKUP(A65,state!$A$2:$G$55,7,FALSE)),D65,0)</f>
        <v>0</v>
      </c>
      <c r="J65" s="26">
        <f>IF(AND(D65&gt;E65,VLOOKUP(A65,state!$A$2:$G$55,5,FALSE)=VLOOKUP(A65,state!$A$2:$G$55,7,FALSE)),E65,0)</f>
        <v>0</v>
      </c>
      <c r="K65" s="26">
        <f>IF(AND(I65=0,VLOOKUP(A65,state!$A$2:$G$55,6,FALSE)&gt;0,VLOOKUP(A65,state!$A$2:$G$55,5,FALSE)=VLOOKUP(A65,state!$A$2:$G$55,7,FALSE)),(VLOOKUP(A65,state!$A$2:$J$55,7,FALSE)-VLOOKUP(A65,state!$A$2:$J$55,10,FALSE))*E65/(VLOOKUP(A65,state!$A$2:$J$55,7,FALSE)-VLOOKUP(A65,state!$A$2:$K$55,11,FALSE)),0)</f>
        <v>0</v>
      </c>
      <c r="L65" s="27">
        <f t="shared" si="2"/>
        <v>0</v>
      </c>
      <c r="M65" s="27">
        <f t="shared" si="3"/>
        <v>0</v>
      </c>
    </row>
    <row r="66" spans="1:13" ht="12.75">
      <c r="A66" s="24" t="s">
        <v>82</v>
      </c>
      <c r="B66" s="25" t="s">
        <v>85</v>
      </c>
      <c r="C66" s="26">
        <f>'cost benchmark'!P75</f>
        <v>0</v>
      </c>
      <c r="D66" s="26">
        <f>'cost benchmark'!Q75*VLOOKUP(A66,'per line'!$A$6:$E$55,5,FALSE)</f>
        <v>0</v>
      </c>
      <c r="E66" s="26">
        <f>'cost benchmark'!F75</f>
        <v>0</v>
      </c>
      <c r="F66" s="27">
        <f t="shared" si="0"/>
        <v>0</v>
      </c>
      <c r="G66" s="26">
        <f t="shared" si="1"/>
        <v>0</v>
      </c>
      <c r="H66" s="26">
        <f>IF(VLOOKUP(A66,state!$A$2:$G$55,4,FALSE)=VLOOKUP(A66,state!$A$2:$G$55,7,FALSE),D66,0)</f>
        <v>0</v>
      </c>
      <c r="I66" s="26">
        <f>IF(AND(D66&gt;E66,VLOOKUP(A66,state!$A$2:$G$55,5,FALSE)=VLOOKUP(A66,state!$A$2:$G$55,7,FALSE)),D66,0)</f>
        <v>0</v>
      </c>
      <c r="J66" s="26">
        <f>IF(AND(D66&gt;E66,VLOOKUP(A66,state!$A$2:$G$55,5,FALSE)=VLOOKUP(A66,state!$A$2:$G$55,7,FALSE)),E66,0)</f>
        <v>0</v>
      </c>
      <c r="K66" s="26">
        <f>IF(AND(I66=0,VLOOKUP(A66,state!$A$2:$G$55,6,FALSE)&gt;0,VLOOKUP(A66,state!$A$2:$G$55,5,FALSE)=VLOOKUP(A66,state!$A$2:$G$55,7,FALSE)),(VLOOKUP(A66,state!$A$2:$J$55,7,FALSE)-VLOOKUP(A66,state!$A$2:$J$55,10,FALSE))*E66/(VLOOKUP(A66,state!$A$2:$J$55,7,FALSE)-VLOOKUP(A66,state!$A$2:$K$55,11,FALSE)),0)</f>
        <v>0</v>
      </c>
      <c r="L66" s="27">
        <f t="shared" si="2"/>
        <v>0</v>
      </c>
      <c r="M66" s="27">
        <f t="shared" si="3"/>
        <v>0</v>
      </c>
    </row>
    <row r="67" spans="1:13" ht="12.75">
      <c r="A67" s="24" t="s">
        <v>86</v>
      </c>
      <c r="B67" s="25" t="s">
        <v>146</v>
      </c>
      <c r="C67" s="26">
        <f>'cost benchmark'!P76</f>
        <v>0</v>
      </c>
      <c r="D67" s="26">
        <f>'cost benchmark'!Q76*VLOOKUP(A67,'per line'!$A$6:$E$55,5,FALSE)</f>
        <v>0</v>
      </c>
      <c r="E67" s="26">
        <f>'cost benchmark'!F76</f>
        <v>0</v>
      </c>
      <c r="F67" s="27">
        <f t="shared" si="0"/>
        <v>0</v>
      </c>
      <c r="G67" s="26">
        <f t="shared" si="1"/>
        <v>0</v>
      </c>
      <c r="H67" s="26">
        <f>IF(VLOOKUP(A67,state!$A$2:$G$55,4,FALSE)=VLOOKUP(A67,state!$A$2:$G$55,7,FALSE),D67,0)</f>
        <v>0</v>
      </c>
      <c r="I67" s="26">
        <f>IF(AND(D67&gt;E67,VLOOKUP(A67,state!$A$2:$G$55,5,FALSE)=VLOOKUP(A67,state!$A$2:$G$55,7,FALSE)),D67,0)</f>
        <v>0</v>
      </c>
      <c r="J67" s="26">
        <f>IF(AND(D67&gt;E67,VLOOKUP(A67,state!$A$2:$G$55,5,FALSE)=VLOOKUP(A67,state!$A$2:$G$55,7,FALSE)),E67,0)</f>
        <v>0</v>
      </c>
      <c r="K67" s="26">
        <f>IF(AND(I67=0,VLOOKUP(A67,state!$A$2:$G$55,6,FALSE)&gt;0,VLOOKUP(A67,state!$A$2:$G$55,5,FALSE)=VLOOKUP(A67,state!$A$2:$G$55,7,FALSE)),(VLOOKUP(A67,state!$A$2:$J$55,7,FALSE)-VLOOKUP(A67,state!$A$2:$J$55,10,FALSE))*E67/(VLOOKUP(A67,state!$A$2:$J$55,7,FALSE)-VLOOKUP(A67,state!$A$2:$K$55,11,FALSE)),0)</f>
        <v>0</v>
      </c>
      <c r="L67" s="27">
        <f t="shared" si="2"/>
        <v>0</v>
      </c>
      <c r="M67" s="27">
        <f t="shared" si="3"/>
        <v>0</v>
      </c>
    </row>
    <row r="68" spans="1:13" ht="12.75">
      <c r="A68" s="24" t="s">
        <v>86</v>
      </c>
      <c r="B68" s="25" t="s">
        <v>87</v>
      </c>
      <c r="C68" s="26">
        <f>'cost benchmark'!P77</f>
        <v>0</v>
      </c>
      <c r="D68" s="26">
        <f>'cost benchmark'!Q77*VLOOKUP(A68,'per line'!$A$6:$E$55,5,FALSE)</f>
        <v>0</v>
      </c>
      <c r="E68" s="26">
        <f>'cost benchmark'!F77</f>
        <v>0</v>
      </c>
      <c r="F68" s="27">
        <f t="shared" si="0"/>
        <v>0</v>
      </c>
      <c r="G68" s="26">
        <f t="shared" si="1"/>
        <v>0</v>
      </c>
      <c r="H68" s="26">
        <f>IF(VLOOKUP(A68,state!$A$2:$G$55,4,FALSE)=VLOOKUP(A68,state!$A$2:$G$55,7,FALSE),D68,0)</f>
        <v>0</v>
      </c>
      <c r="I68" s="26">
        <f>IF(AND(D68&gt;E68,VLOOKUP(A68,state!$A$2:$G$55,5,FALSE)=VLOOKUP(A68,state!$A$2:$G$55,7,FALSE)),D68,0)</f>
        <v>0</v>
      </c>
      <c r="J68" s="26">
        <f>IF(AND(D68&gt;E68,VLOOKUP(A68,state!$A$2:$G$55,5,FALSE)=VLOOKUP(A68,state!$A$2:$G$55,7,FALSE)),E68,0)</f>
        <v>0</v>
      </c>
      <c r="K68" s="26">
        <f>IF(AND(I68=0,VLOOKUP(A68,state!$A$2:$G$55,6,FALSE)&gt;0,VLOOKUP(A68,state!$A$2:$G$55,5,FALSE)=VLOOKUP(A68,state!$A$2:$G$55,7,FALSE)),(VLOOKUP(A68,state!$A$2:$J$55,7,FALSE)-VLOOKUP(A68,state!$A$2:$J$55,10,FALSE))*E68/(VLOOKUP(A68,state!$A$2:$J$55,7,FALSE)-VLOOKUP(A68,state!$A$2:$K$55,11,FALSE)),0)</f>
        <v>0</v>
      </c>
      <c r="L68" s="27">
        <f t="shared" si="2"/>
        <v>0</v>
      </c>
      <c r="M68" s="27">
        <f t="shared" si="3"/>
        <v>0</v>
      </c>
    </row>
    <row r="69" spans="1:13" ht="12.75">
      <c r="A69" s="24" t="s">
        <v>88</v>
      </c>
      <c r="B69" s="25" t="s">
        <v>147</v>
      </c>
      <c r="C69" s="26">
        <f>'cost benchmark'!P78</f>
        <v>0</v>
      </c>
      <c r="D69" s="26">
        <f>'cost benchmark'!Q78*VLOOKUP(A69,'per line'!$A$6:$E$55,5,FALSE)</f>
        <v>0</v>
      </c>
      <c r="E69" s="26">
        <f>'cost benchmark'!F78</f>
        <v>0</v>
      </c>
      <c r="F69" s="27">
        <f aca="true" t="shared" si="4" ref="F69:F94">MAX(D69,E69)</f>
        <v>0</v>
      </c>
      <c r="G69" s="26">
        <f aca="true" t="shared" si="5" ref="G69:G94">IF(E69&gt;D69,E69-D69,0)</f>
        <v>0</v>
      </c>
      <c r="H69" s="26">
        <f>IF(VLOOKUP(A69,state!$A$2:$G$55,4,FALSE)=VLOOKUP(A69,state!$A$2:$G$55,7,FALSE),D69,0)</f>
        <v>0</v>
      </c>
      <c r="I69" s="26">
        <f>IF(AND(D69&gt;E69,VLOOKUP(A69,state!$A$2:$G$55,5,FALSE)=VLOOKUP(A69,state!$A$2:$G$55,7,FALSE)),D69,0)</f>
        <v>0</v>
      </c>
      <c r="J69" s="26">
        <f>IF(AND(D69&gt;E69,VLOOKUP(A69,state!$A$2:$G$55,5,FALSE)=VLOOKUP(A69,state!$A$2:$G$55,7,FALSE)),E69,0)</f>
        <v>0</v>
      </c>
      <c r="K69" s="26">
        <f>IF(AND(I69=0,VLOOKUP(A69,state!$A$2:$G$55,6,FALSE)&gt;0,VLOOKUP(A69,state!$A$2:$G$55,5,FALSE)=VLOOKUP(A69,state!$A$2:$G$55,7,FALSE)),(VLOOKUP(A69,state!$A$2:$J$55,7,FALSE)-VLOOKUP(A69,state!$A$2:$J$55,10,FALSE))*E69/(VLOOKUP(A69,state!$A$2:$J$55,7,FALSE)-VLOOKUP(A69,state!$A$2:$K$55,11,FALSE)),0)</f>
        <v>0</v>
      </c>
      <c r="L69" s="27">
        <f aca="true" t="shared" si="6" ref="L69:L94">K69+I69+H69</f>
        <v>0</v>
      </c>
      <c r="M69" s="27">
        <f aca="true" t="shared" si="7" ref="M69:M94">F69-L69</f>
        <v>0</v>
      </c>
    </row>
    <row r="70" spans="1:13" ht="12.75">
      <c r="A70" s="24" t="s">
        <v>88</v>
      </c>
      <c r="B70" s="25" t="s">
        <v>89</v>
      </c>
      <c r="C70" s="26">
        <f>'cost benchmark'!P79</f>
        <v>0</v>
      </c>
      <c r="D70" s="26">
        <f>'cost benchmark'!Q79*VLOOKUP(A70,'per line'!$A$6:$E$55,5,FALSE)</f>
        <v>0</v>
      </c>
      <c r="E70" s="26">
        <f>'cost benchmark'!F79</f>
        <v>17076</v>
      </c>
      <c r="F70" s="27">
        <f t="shared" si="4"/>
        <v>17076</v>
      </c>
      <c r="G70" s="26">
        <f t="shared" si="5"/>
        <v>17076</v>
      </c>
      <c r="H70" s="26">
        <f>IF(VLOOKUP(A70,state!$A$2:$G$55,4,FALSE)=VLOOKUP(A70,state!$A$2:$G$55,7,FALSE),D70,0)</f>
        <v>0</v>
      </c>
      <c r="I70" s="26">
        <f>IF(AND(D70&gt;E70,VLOOKUP(A70,state!$A$2:$G$55,5,FALSE)=VLOOKUP(A70,state!$A$2:$G$55,7,FALSE)),D70,0)</f>
        <v>0</v>
      </c>
      <c r="J70" s="26">
        <f>IF(AND(D70&gt;E70,VLOOKUP(A70,state!$A$2:$G$55,5,FALSE)=VLOOKUP(A70,state!$A$2:$G$55,7,FALSE)),E70,0)</f>
        <v>0</v>
      </c>
      <c r="K70" s="26">
        <f>IF(AND(I70=0,VLOOKUP(A70,state!$A$2:$G$55,6,FALSE)&gt;0,VLOOKUP(A70,state!$A$2:$G$55,5,FALSE)=VLOOKUP(A70,state!$A$2:$G$55,7,FALSE)),(VLOOKUP(A70,state!$A$2:$J$55,7,FALSE)-VLOOKUP(A70,state!$A$2:$J$55,10,FALSE))*E70/(VLOOKUP(A70,state!$A$2:$J$55,7,FALSE)-VLOOKUP(A70,state!$A$2:$K$55,11,FALSE)),0)</f>
        <v>17076</v>
      </c>
      <c r="L70" s="27">
        <f t="shared" si="6"/>
        <v>17076</v>
      </c>
      <c r="M70" s="27">
        <f t="shared" si="7"/>
        <v>0</v>
      </c>
    </row>
    <row r="71" spans="1:13" ht="12.75">
      <c r="A71" s="24" t="s">
        <v>90</v>
      </c>
      <c r="B71" s="25" t="s">
        <v>91</v>
      </c>
      <c r="C71" s="26">
        <f>'cost benchmark'!P80</f>
        <v>0</v>
      </c>
      <c r="D71" s="26">
        <f>'cost benchmark'!Q80*VLOOKUP(A71,'per line'!$A$6:$E$55,5,FALSE)</f>
        <v>0</v>
      </c>
      <c r="E71" s="26">
        <f>'cost benchmark'!F80</f>
        <v>0</v>
      </c>
      <c r="F71" s="27">
        <f t="shared" si="4"/>
        <v>0</v>
      </c>
      <c r="G71" s="26">
        <f t="shared" si="5"/>
        <v>0</v>
      </c>
      <c r="H71" s="26">
        <f>IF(VLOOKUP(A71,state!$A$2:$G$55,4,FALSE)=VLOOKUP(A71,state!$A$2:$G$55,7,FALSE),D71,0)</f>
        <v>0</v>
      </c>
      <c r="I71" s="26">
        <f>IF(AND(D71&gt;E71,VLOOKUP(A71,state!$A$2:$G$55,5,FALSE)=VLOOKUP(A71,state!$A$2:$G$55,7,FALSE)),D71,0)</f>
        <v>0</v>
      </c>
      <c r="J71" s="26">
        <f>IF(AND(D71&gt;E71,VLOOKUP(A71,state!$A$2:$G$55,5,FALSE)=VLOOKUP(A71,state!$A$2:$G$55,7,FALSE)),E71,0)</f>
        <v>0</v>
      </c>
      <c r="K71" s="26">
        <f>IF(AND(I71=0,VLOOKUP(A71,state!$A$2:$G$55,6,FALSE)&gt;0,VLOOKUP(A71,state!$A$2:$G$55,5,FALSE)=VLOOKUP(A71,state!$A$2:$G$55,7,FALSE)),(VLOOKUP(A71,state!$A$2:$J$55,7,FALSE)-VLOOKUP(A71,state!$A$2:$J$55,10,FALSE))*E71/(VLOOKUP(A71,state!$A$2:$J$55,7,FALSE)-VLOOKUP(A71,state!$A$2:$K$55,11,FALSE)),0)</f>
        <v>0</v>
      </c>
      <c r="L71" s="27">
        <f t="shared" si="6"/>
        <v>0</v>
      </c>
      <c r="M71" s="27">
        <f t="shared" si="7"/>
        <v>0</v>
      </c>
    </row>
    <row r="72" spans="1:13" ht="12.75">
      <c r="A72" s="24" t="s">
        <v>90</v>
      </c>
      <c r="B72" s="25" t="s">
        <v>148</v>
      </c>
      <c r="C72" s="26">
        <f>'cost benchmark'!P81</f>
        <v>0</v>
      </c>
      <c r="D72" s="26">
        <f>'cost benchmark'!Q81*VLOOKUP(A72,'per line'!$A$6:$E$55,5,FALSE)</f>
        <v>0</v>
      </c>
      <c r="E72" s="26">
        <f>'cost benchmark'!F81</f>
        <v>0</v>
      </c>
      <c r="F72" s="27">
        <f t="shared" si="4"/>
        <v>0</v>
      </c>
      <c r="G72" s="26">
        <f t="shared" si="5"/>
        <v>0</v>
      </c>
      <c r="H72" s="26">
        <f>IF(VLOOKUP(A72,state!$A$2:$G$55,4,FALSE)=VLOOKUP(A72,state!$A$2:$G$55,7,FALSE),D72,0)</f>
        <v>0</v>
      </c>
      <c r="I72" s="26">
        <f>IF(AND(D72&gt;E72,VLOOKUP(A72,state!$A$2:$G$55,5,FALSE)=VLOOKUP(A72,state!$A$2:$G$55,7,FALSE)),D72,0)</f>
        <v>0</v>
      </c>
      <c r="J72" s="26">
        <f>IF(AND(D72&gt;E72,VLOOKUP(A72,state!$A$2:$G$55,5,FALSE)=VLOOKUP(A72,state!$A$2:$G$55,7,FALSE)),E72,0)</f>
        <v>0</v>
      </c>
      <c r="K72" s="26">
        <f>IF(AND(I72=0,VLOOKUP(A72,state!$A$2:$G$55,6,FALSE)&gt;0,VLOOKUP(A72,state!$A$2:$G$55,5,FALSE)=VLOOKUP(A72,state!$A$2:$G$55,7,FALSE)),(VLOOKUP(A72,state!$A$2:$J$55,7,FALSE)-VLOOKUP(A72,state!$A$2:$J$55,10,FALSE))*E72/(VLOOKUP(A72,state!$A$2:$J$55,7,FALSE)-VLOOKUP(A72,state!$A$2:$K$55,11,FALSE)),0)</f>
        <v>0</v>
      </c>
      <c r="L72" s="27">
        <f t="shared" si="6"/>
        <v>0</v>
      </c>
      <c r="M72" s="27">
        <f t="shared" si="7"/>
        <v>0</v>
      </c>
    </row>
    <row r="73" spans="1:13" ht="12.75">
      <c r="A73" s="24" t="s">
        <v>92</v>
      </c>
      <c r="B73" s="25" t="s">
        <v>93</v>
      </c>
      <c r="C73" s="26">
        <f>'cost benchmark'!P82</f>
        <v>0</v>
      </c>
      <c r="D73" s="26">
        <f>'cost benchmark'!Q82*VLOOKUP(A73,'per line'!$A$6:$E$55,5,FALSE)</f>
        <v>0</v>
      </c>
      <c r="E73" s="26">
        <f>'cost benchmark'!F82</f>
        <v>0</v>
      </c>
      <c r="F73" s="27">
        <f t="shared" si="4"/>
        <v>0</v>
      </c>
      <c r="G73" s="26">
        <f t="shared" si="5"/>
        <v>0</v>
      </c>
      <c r="H73" s="26">
        <f>IF(VLOOKUP(A73,state!$A$2:$G$55,4,FALSE)=VLOOKUP(A73,state!$A$2:$G$55,7,FALSE),D73,0)</f>
        <v>0</v>
      </c>
      <c r="I73" s="26">
        <f>IF(AND(D73&gt;E73,VLOOKUP(A73,state!$A$2:$G$55,5,FALSE)=VLOOKUP(A73,state!$A$2:$G$55,7,FALSE)),D73,0)</f>
        <v>0</v>
      </c>
      <c r="J73" s="26">
        <f>IF(AND(D73&gt;E73,VLOOKUP(A73,state!$A$2:$G$55,5,FALSE)=VLOOKUP(A73,state!$A$2:$G$55,7,FALSE)),E73,0)</f>
        <v>0</v>
      </c>
      <c r="K73" s="26">
        <f>IF(AND(I73=0,VLOOKUP(A73,state!$A$2:$G$55,6,FALSE)&gt;0,VLOOKUP(A73,state!$A$2:$G$55,5,FALSE)=VLOOKUP(A73,state!$A$2:$G$55,7,FALSE)),(VLOOKUP(A73,state!$A$2:$J$55,7,FALSE)-VLOOKUP(A73,state!$A$2:$J$55,10,FALSE))*E73/(VLOOKUP(A73,state!$A$2:$J$55,7,FALSE)-VLOOKUP(A73,state!$A$2:$K$55,11,FALSE)),0)</f>
        <v>0</v>
      </c>
      <c r="L73" s="27">
        <f t="shared" si="6"/>
        <v>0</v>
      </c>
      <c r="M73" s="27">
        <f t="shared" si="7"/>
        <v>0</v>
      </c>
    </row>
    <row r="74" spans="1:13" ht="12.75">
      <c r="A74" s="24" t="s">
        <v>94</v>
      </c>
      <c r="B74" s="25" t="s">
        <v>149</v>
      </c>
      <c r="C74" s="26">
        <f>'cost benchmark'!P83</f>
        <v>0</v>
      </c>
      <c r="D74" s="26">
        <f>'cost benchmark'!Q83*VLOOKUP(A74,'per line'!$A$6:$E$55,5,FALSE)</f>
        <v>0</v>
      </c>
      <c r="E74" s="26">
        <f>'cost benchmark'!F83</f>
        <v>0</v>
      </c>
      <c r="F74" s="27">
        <f t="shared" si="4"/>
        <v>0</v>
      </c>
      <c r="G74" s="26">
        <f t="shared" si="5"/>
        <v>0</v>
      </c>
      <c r="H74" s="26">
        <f>IF(VLOOKUP(A74,state!$A$2:$G$55,4,FALSE)=VLOOKUP(A74,state!$A$2:$G$55,7,FALSE),D74,0)</f>
        <v>0</v>
      </c>
      <c r="I74" s="26">
        <f>IF(AND(D74&gt;E74,VLOOKUP(A74,state!$A$2:$G$55,5,FALSE)=VLOOKUP(A74,state!$A$2:$G$55,7,FALSE)),D74,0)</f>
        <v>0</v>
      </c>
      <c r="J74" s="26">
        <f>IF(AND(D74&gt;E74,VLOOKUP(A74,state!$A$2:$G$55,5,FALSE)=VLOOKUP(A74,state!$A$2:$G$55,7,FALSE)),E74,0)</f>
        <v>0</v>
      </c>
      <c r="K74" s="26">
        <f>IF(AND(I74=0,VLOOKUP(A74,state!$A$2:$G$55,6,FALSE)&gt;0,VLOOKUP(A74,state!$A$2:$G$55,5,FALSE)=VLOOKUP(A74,state!$A$2:$G$55,7,FALSE)),(VLOOKUP(A74,state!$A$2:$J$55,7,FALSE)-VLOOKUP(A74,state!$A$2:$J$55,10,FALSE))*E74/(VLOOKUP(A74,state!$A$2:$J$55,7,FALSE)-VLOOKUP(A74,state!$A$2:$K$55,11,FALSE)),0)</f>
        <v>0</v>
      </c>
      <c r="L74" s="27">
        <f t="shared" si="6"/>
        <v>0</v>
      </c>
      <c r="M74" s="27">
        <f t="shared" si="7"/>
        <v>0</v>
      </c>
    </row>
    <row r="75" spans="1:13" ht="12.75">
      <c r="A75" s="24" t="s">
        <v>94</v>
      </c>
      <c r="B75" s="25" t="s">
        <v>95</v>
      </c>
      <c r="C75" s="26">
        <f>'cost benchmark'!P84</f>
        <v>0</v>
      </c>
      <c r="D75" s="26">
        <f>'cost benchmark'!Q84*VLOOKUP(A75,'per line'!$A$6:$E$55,5,FALSE)</f>
        <v>0</v>
      </c>
      <c r="E75" s="26">
        <f>'cost benchmark'!F84</f>
        <v>5578296</v>
      </c>
      <c r="F75" s="27">
        <f t="shared" si="4"/>
        <v>5578296</v>
      </c>
      <c r="G75" s="26">
        <f t="shared" si="5"/>
        <v>5578296</v>
      </c>
      <c r="H75" s="26">
        <f>IF(VLOOKUP(A75,state!$A$2:$G$55,4,FALSE)=VLOOKUP(A75,state!$A$2:$G$55,7,FALSE),D75,0)</f>
        <v>0</v>
      </c>
      <c r="I75" s="26">
        <f>IF(AND(D75&gt;E75,VLOOKUP(A75,state!$A$2:$G$55,5,FALSE)=VLOOKUP(A75,state!$A$2:$G$55,7,FALSE)),D75,0)</f>
        <v>0</v>
      </c>
      <c r="J75" s="26">
        <f>IF(AND(D75&gt;E75,VLOOKUP(A75,state!$A$2:$G$55,5,FALSE)=VLOOKUP(A75,state!$A$2:$G$55,7,FALSE)),E75,0)</f>
        <v>0</v>
      </c>
      <c r="K75" s="26">
        <f>IF(AND(I75=0,VLOOKUP(A75,state!$A$2:$G$55,6,FALSE)&gt;0,VLOOKUP(A75,state!$A$2:$G$55,5,FALSE)=VLOOKUP(A75,state!$A$2:$G$55,7,FALSE)),(VLOOKUP(A75,state!$A$2:$J$55,7,FALSE)-VLOOKUP(A75,state!$A$2:$J$55,10,FALSE))*E75/(VLOOKUP(A75,state!$A$2:$J$55,7,FALSE)-VLOOKUP(A75,state!$A$2:$K$55,11,FALSE)),0)</f>
        <v>5578296</v>
      </c>
      <c r="L75" s="27">
        <f t="shared" si="6"/>
        <v>5578296</v>
      </c>
      <c r="M75" s="27">
        <f t="shared" si="7"/>
        <v>0</v>
      </c>
    </row>
    <row r="76" spans="1:13" ht="12.75">
      <c r="A76" s="24" t="s">
        <v>96</v>
      </c>
      <c r="B76" s="25" t="s">
        <v>97</v>
      </c>
      <c r="C76" s="26">
        <f>'cost benchmark'!P85</f>
        <v>0</v>
      </c>
      <c r="D76" s="26">
        <f>'cost benchmark'!Q85*VLOOKUP(A76,'per line'!$A$6:$E$55,5,FALSE)</f>
        <v>0</v>
      </c>
      <c r="E76" s="26">
        <f>'cost benchmark'!F85</f>
        <v>0</v>
      </c>
      <c r="F76" s="27">
        <f t="shared" si="4"/>
        <v>0</v>
      </c>
      <c r="G76" s="26">
        <f t="shared" si="5"/>
        <v>0</v>
      </c>
      <c r="H76" s="26">
        <f>IF(VLOOKUP(A76,state!$A$2:$G$55,4,FALSE)=VLOOKUP(A76,state!$A$2:$G$55,7,FALSE),D76,0)</f>
        <v>0</v>
      </c>
      <c r="I76" s="26">
        <f>IF(AND(D76&gt;E76,VLOOKUP(A76,state!$A$2:$G$55,5,FALSE)=VLOOKUP(A76,state!$A$2:$G$55,7,FALSE)),D76,0)</f>
        <v>0</v>
      </c>
      <c r="J76" s="26">
        <f>IF(AND(D76&gt;E76,VLOOKUP(A76,state!$A$2:$G$55,5,FALSE)=VLOOKUP(A76,state!$A$2:$G$55,7,FALSE)),E76,0)</f>
        <v>0</v>
      </c>
      <c r="K76" s="26">
        <f>IF(AND(I76=0,VLOOKUP(A76,state!$A$2:$G$55,6,FALSE)&gt;0,VLOOKUP(A76,state!$A$2:$G$55,5,FALSE)=VLOOKUP(A76,state!$A$2:$G$55,7,FALSE)),(VLOOKUP(A76,state!$A$2:$J$55,7,FALSE)-VLOOKUP(A76,state!$A$2:$J$55,10,FALSE))*E76/(VLOOKUP(A76,state!$A$2:$J$55,7,FALSE)-VLOOKUP(A76,state!$A$2:$K$55,11,FALSE)),0)</f>
        <v>0</v>
      </c>
      <c r="L76" s="27">
        <f t="shared" si="6"/>
        <v>0</v>
      </c>
      <c r="M76" s="27">
        <f t="shared" si="7"/>
        <v>0</v>
      </c>
    </row>
    <row r="77" spans="1:13" ht="12.75">
      <c r="A77" s="24" t="s">
        <v>98</v>
      </c>
      <c r="B77" s="25" t="s">
        <v>99</v>
      </c>
      <c r="C77" s="26">
        <f>'cost benchmark'!P86</f>
        <v>0</v>
      </c>
      <c r="D77" s="26">
        <f>'cost benchmark'!Q86*VLOOKUP(A77,'per line'!$A$6:$E$55,5,FALSE)</f>
        <v>0</v>
      </c>
      <c r="E77" s="26">
        <f>'cost benchmark'!F86</f>
        <v>0</v>
      </c>
      <c r="F77" s="27">
        <f t="shared" si="4"/>
        <v>0</v>
      </c>
      <c r="G77" s="26">
        <f t="shared" si="5"/>
        <v>0</v>
      </c>
      <c r="H77" s="26">
        <f>IF(VLOOKUP(A77,state!$A$2:$G$55,4,FALSE)=VLOOKUP(A77,state!$A$2:$G$55,7,FALSE),D77,0)</f>
        <v>0</v>
      </c>
      <c r="I77" s="26">
        <f>IF(AND(D77&gt;E77,VLOOKUP(A77,state!$A$2:$G$55,5,FALSE)=VLOOKUP(A77,state!$A$2:$G$55,7,FALSE)),D77,0)</f>
        <v>0</v>
      </c>
      <c r="J77" s="26">
        <f>IF(AND(D77&gt;E77,VLOOKUP(A77,state!$A$2:$G$55,5,FALSE)=VLOOKUP(A77,state!$A$2:$G$55,7,FALSE)),E77,0)</f>
        <v>0</v>
      </c>
      <c r="K77" s="26">
        <f>IF(AND(I77=0,VLOOKUP(A77,state!$A$2:$G$55,6,FALSE)&gt;0,VLOOKUP(A77,state!$A$2:$G$55,5,FALSE)=VLOOKUP(A77,state!$A$2:$G$55,7,FALSE)),(VLOOKUP(A77,state!$A$2:$J$55,7,FALSE)-VLOOKUP(A77,state!$A$2:$J$55,10,FALSE))*E77/(VLOOKUP(A77,state!$A$2:$J$55,7,FALSE)-VLOOKUP(A77,state!$A$2:$K$55,11,FALSE)),0)</f>
        <v>0</v>
      </c>
      <c r="L77" s="27">
        <f t="shared" si="6"/>
        <v>0</v>
      </c>
      <c r="M77" s="27">
        <f t="shared" si="7"/>
        <v>0</v>
      </c>
    </row>
    <row r="78" spans="1:13" ht="12.75">
      <c r="A78" s="24" t="s">
        <v>98</v>
      </c>
      <c r="B78" s="25" t="s">
        <v>100</v>
      </c>
      <c r="C78" s="26">
        <f>'cost benchmark'!P87</f>
        <v>0</v>
      </c>
      <c r="D78" s="26">
        <f>'cost benchmark'!Q87*VLOOKUP(A78,'per line'!$A$6:$E$55,5,FALSE)</f>
        <v>0</v>
      </c>
      <c r="E78" s="26">
        <f>'cost benchmark'!F87</f>
        <v>0</v>
      </c>
      <c r="F78" s="27">
        <f t="shared" si="4"/>
        <v>0</v>
      </c>
      <c r="G78" s="26">
        <f t="shared" si="5"/>
        <v>0</v>
      </c>
      <c r="H78" s="26">
        <f>IF(VLOOKUP(A78,state!$A$2:$G$55,4,FALSE)=VLOOKUP(A78,state!$A$2:$G$55,7,FALSE),D78,0)</f>
        <v>0</v>
      </c>
      <c r="I78" s="26">
        <f>IF(AND(D78&gt;E78,VLOOKUP(A78,state!$A$2:$G$55,5,FALSE)=VLOOKUP(A78,state!$A$2:$G$55,7,FALSE)),D78,0)</f>
        <v>0</v>
      </c>
      <c r="J78" s="26">
        <f>IF(AND(D78&gt;E78,VLOOKUP(A78,state!$A$2:$G$55,5,FALSE)=VLOOKUP(A78,state!$A$2:$G$55,7,FALSE)),E78,0)</f>
        <v>0</v>
      </c>
      <c r="K78" s="26">
        <f>IF(AND(I78=0,VLOOKUP(A78,state!$A$2:$G$55,6,FALSE)&gt;0,VLOOKUP(A78,state!$A$2:$G$55,5,FALSE)=VLOOKUP(A78,state!$A$2:$G$55,7,FALSE)),(VLOOKUP(A78,state!$A$2:$J$55,7,FALSE)-VLOOKUP(A78,state!$A$2:$J$55,10,FALSE))*E78/(VLOOKUP(A78,state!$A$2:$J$55,7,FALSE)-VLOOKUP(A78,state!$A$2:$K$55,11,FALSE)),0)</f>
        <v>0</v>
      </c>
      <c r="L78" s="27">
        <f t="shared" si="6"/>
        <v>0</v>
      </c>
      <c r="M78" s="27">
        <f t="shared" si="7"/>
        <v>0</v>
      </c>
    </row>
    <row r="79" spans="1:13" ht="12.75">
      <c r="A79" s="24" t="s">
        <v>101</v>
      </c>
      <c r="B79" s="25" t="s">
        <v>102</v>
      </c>
      <c r="C79" s="26">
        <f>'cost benchmark'!P88</f>
        <v>0</v>
      </c>
      <c r="D79" s="26">
        <f>'cost benchmark'!Q88*VLOOKUP(A79,'per line'!$A$6:$E$55,5,FALSE)</f>
        <v>0</v>
      </c>
      <c r="E79" s="26">
        <f>'cost benchmark'!F88</f>
        <v>5150976</v>
      </c>
      <c r="F79" s="27">
        <f t="shared" si="4"/>
        <v>5150976</v>
      </c>
      <c r="G79" s="26">
        <f t="shared" si="5"/>
        <v>5150976</v>
      </c>
      <c r="H79" s="26">
        <f>IF(VLOOKUP(A79,state!$A$2:$G$55,4,FALSE)=VLOOKUP(A79,state!$A$2:$G$55,7,FALSE),D79,0)</f>
        <v>0</v>
      </c>
      <c r="I79" s="26">
        <f>IF(AND(D79&gt;E79,VLOOKUP(A79,state!$A$2:$G$55,5,FALSE)=VLOOKUP(A79,state!$A$2:$G$55,7,FALSE)),D79,0)</f>
        <v>0</v>
      </c>
      <c r="J79" s="26">
        <f>IF(AND(D79&gt;E79,VLOOKUP(A79,state!$A$2:$G$55,5,FALSE)=VLOOKUP(A79,state!$A$2:$G$55,7,FALSE)),E79,0)</f>
        <v>0</v>
      </c>
      <c r="K79" s="26">
        <f>IF(AND(I79=0,VLOOKUP(A79,state!$A$2:$G$55,6,FALSE)&gt;0,VLOOKUP(A79,state!$A$2:$G$55,5,FALSE)=VLOOKUP(A79,state!$A$2:$G$55,7,FALSE)),(VLOOKUP(A79,state!$A$2:$J$55,7,FALSE)-VLOOKUP(A79,state!$A$2:$J$55,10,FALSE))*E79/(VLOOKUP(A79,state!$A$2:$J$55,7,FALSE)-VLOOKUP(A79,state!$A$2:$K$55,11,FALSE)),0)</f>
        <v>5150976</v>
      </c>
      <c r="L79" s="27">
        <f t="shared" si="6"/>
        <v>5150976</v>
      </c>
      <c r="M79" s="27">
        <f t="shared" si="7"/>
        <v>0</v>
      </c>
    </row>
    <row r="80" spans="1:13" ht="12.75">
      <c r="A80" s="24" t="s">
        <v>101</v>
      </c>
      <c r="B80" s="25" t="s">
        <v>160</v>
      </c>
      <c r="C80" s="26">
        <f>'cost benchmark'!P89</f>
        <v>0</v>
      </c>
      <c r="D80" s="26">
        <f>'cost benchmark'!Q89*VLOOKUP(A80,'per line'!$A$6:$E$55,5,FALSE)</f>
        <v>0</v>
      </c>
      <c r="E80" s="26">
        <f>'cost benchmark'!F89</f>
        <v>495768</v>
      </c>
      <c r="F80" s="27">
        <f t="shared" si="4"/>
        <v>495768</v>
      </c>
      <c r="G80" s="26">
        <f t="shared" si="5"/>
        <v>495768</v>
      </c>
      <c r="H80" s="26">
        <f>IF(VLOOKUP(A80,state!$A$2:$G$55,4,FALSE)=VLOOKUP(A80,state!$A$2:$G$55,7,FALSE),D80,0)</f>
        <v>0</v>
      </c>
      <c r="I80" s="26">
        <f>IF(AND(D80&gt;E80,VLOOKUP(A80,state!$A$2:$G$55,5,FALSE)=VLOOKUP(A80,state!$A$2:$G$55,7,FALSE)),D80,0)</f>
        <v>0</v>
      </c>
      <c r="J80" s="26">
        <f>IF(AND(D80&gt;E80,VLOOKUP(A80,state!$A$2:$G$55,5,FALSE)=VLOOKUP(A80,state!$A$2:$G$55,7,FALSE)),E80,0)</f>
        <v>0</v>
      </c>
      <c r="K80" s="26">
        <f>IF(AND(I80=0,VLOOKUP(A80,state!$A$2:$G$55,6,FALSE)&gt;0,VLOOKUP(A80,state!$A$2:$G$55,5,FALSE)=VLOOKUP(A80,state!$A$2:$G$55,7,FALSE)),(VLOOKUP(A80,state!$A$2:$J$55,7,FALSE)-VLOOKUP(A80,state!$A$2:$J$55,10,FALSE))*E80/(VLOOKUP(A80,state!$A$2:$J$55,7,FALSE)-VLOOKUP(A80,state!$A$2:$K$55,11,FALSE)),0)</f>
        <v>495768</v>
      </c>
      <c r="L80" s="27">
        <f t="shared" si="6"/>
        <v>495768</v>
      </c>
      <c r="M80" s="27">
        <f t="shared" si="7"/>
        <v>0</v>
      </c>
    </row>
    <row r="81" spans="1:13" ht="12.75">
      <c r="A81" s="24" t="s">
        <v>101</v>
      </c>
      <c r="B81" s="25" t="s">
        <v>150</v>
      </c>
      <c r="C81" s="26">
        <f>'cost benchmark'!P90</f>
        <v>0</v>
      </c>
      <c r="D81" s="26">
        <f>'cost benchmark'!Q90*VLOOKUP(A81,'per line'!$A$6:$E$55,5,FALSE)</f>
        <v>0</v>
      </c>
      <c r="E81" s="26">
        <f>'cost benchmark'!F90</f>
        <v>0</v>
      </c>
      <c r="F81" s="27">
        <f t="shared" si="4"/>
        <v>0</v>
      </c>
      <c r="G81" s="26">
        <f t="shared" si="5"/>
        <v>0</v>
      </c>
      <c r="H81" s="26">
        <f>IF(VLOOKUP(A81,state!$A$2:$G$55,4,FALSE)=VLOOKUP(A81,state!$A$2:$G$55,7,FALSE),D81,0)</f>
        <v>0</v>
      </c>
      <c r="I81" s="26">
        <f>IF(AND(D81&gt;E81,VLOOKUP(A81,state!$A$2:$G$55,5,FALSE)=VLOOKUP(A81,state!$A$2:$G$55,7,FALSE)),D81,0)</f>
        <v>0</v>
      </c>
      <c r="J81" s="26">
        <f>IF(AND(D81&gt;E81,VLOOKUP(A81,state!$A$2:$G$55,5,FALSE)=VLOOKUP(A81,state!$A$2:$G$55,7,FALSE)),E81,0)</f>
        <v>0</v>
      </c>
      <c r="K81" s="26">
        <f>IF(AND(I81=0,VLOOKUP(A81,state!$A$2:$G$55,6,FALSE)&gt;0,VLOOKUP(A81,state!$A$2:$G$55,5,FALSE)=VLOOKUP(A81,state!$A$2:$G$55,7,FALSE)),(VLOOKUP(A81,state!$A$2:$J$55,7,FALSE)-VLOOKUP(A81,state!$A$2:$J$55,10,FALSE))*E81/(VLOOKUP(A81,state!$A$2:$J$55,7,FALSE)-VLOOKUP(A81,state!$A$2:$K$55,11,FALSE)),0)</f>
        <v>0</v>
      </c>
      <c r="L81" s="27">
        <f t="shared" si="6"/>
        <v>0</v>
      </c>
      <c r="M81" s="27">
        <f t="shared" si="7"/>
        <v>0</v>
      </c>
    </row>
    <row r="82" spans="1:13" ht="12.75">
      <c r="A82" s="24" t="s">
        <v>101</v>
      </c>
      <c r="B82" s="25" t="s">
        <v>103</v>
      </c>
      <c r="C82" s="26">
        <f>'cost benchmark'!P91</f>
        <v>0</v>
      </c>
      <c r="D82" s="26">
        <f>'cost benchmark'!Q91*VLOOKUP(A82,'per line'!$A$6:$E$55,5,FALSE)</f>
        <v>0</v>
      </c>
      <c r="E82" s="26">
        <f>'cost benchmark'!F91</f>
        <v>0</v>
      </c>
      <c r="F82" s="27">
        <f t="shared" si="4"/>
        <v>0</v>
      </c>
      <c r="G82" s="26">
        <f t="shared" si="5"/>
        <v>0</v>
      </c>
      <c r="H82" s="26">
        <f>IF(VLOOKUP(A82,state!$A$2:$G$55,4,FALSE)=VLOOKUP(A82,state!$A$2:$G$55,7,FALSE),D82,0)</f>
        <v>0</v>
      </c>
      <c r="I82" s="26">
        <f>IF(AND(D82&gt;E82,VLOOKUP(A82,state!$A$2:$G$55,5,FALSE)=VLOOKUP(A82,state!$A$2:$G$55,7,FALSE)),D82,0)</f>
        <v>0</v>
      </c>
      <c r="J82" s="26">
        <f>IF(AND(D82&gt;E82,VLOOKUP(A82,state!$A$2:$G$55,5,FALSE)=VLOOKUP(A82,state!$A$2:$G$55,7,FALSE)),E82,0)</f>
        <v>0</v>
      </c>
      <c r="K82" s="26">
        <f>IF(AND(I82=0,VLOOKUP(A82,state!$A$2:$G$55,6,FALSE)&gt;0,VLOOKUP(A82,state!$A$2:$G$55,5,FALSE)=VLOOKUP(A82,state!$A$2:$G$55,7,FALSE)),(VLOOKUP(A82,state!$A$2:$J$55,7,FALSE)-VLOOKUP(A82,state!$A$2:$J$55,10,FALSE))*E82/(VLOOKUP(A82,state!$A$2:$J$55,7,FALSE)-VLOOKUP(A82,state!$A$2:$K$55,11,FALSE)),0)</f>
        <v>0</v>
      </c>
      <c r="L82" s="27">
        <f t="shared" si="6"/>
        <v>0</v>
      </c>
      <c r="M82" s="27">
        <f t="shared" si="7"/>
        <v>0</v>
      </c>
    </row>
    <row r="83" spans="1:13" ht="12.75">
      <c r="A83" s="24" t="s">
        <v>104</v>
      </c>
      <c r="B83" s="25" t="s">
        <v>105</v>
      </c>
      <c r="C83" s="26">
        <f>'cost benchmark'!P92</f>
        <v>0</v>
      </c>
      <c r="D83" s="26">
        <f>'cost benchmark'!Q92*VLOOKUP(A83,'per line'!$A$6:$E$55,5,FALSE)</f>
        <v>0</v>
      </c>
      <c r="E83" s="26">
        <f>'cost benchmark'!F92</f>
        <v>0</v>
      </c>
      <c r="F83" s="27">
        <f t="shared" si="4"/>
        <v>0</v>
      </c>
      <c r="G83" s="26">
        <f t="shared" si="5"/>
        <v>0</v>
      </c>
      <c r="H83" s="26">
        <f>IF(VLOOKUP(A83,state!$A$2:$G$55,4,FALSE)=VLOOKUP(A83,state!$A$2:$G$55,7,FALSE),D83,0)</f>
        <v>0</v>
      </c>
      <c r="I83" s="26">
        <f>IF(AND(D83&gt;E83,VLOOKUP(A83,state!$A$2:$G$55,5,FALSE)=VLOOKUP(A83,state!$A$2:$G$55,7,FALSE)),D83,0)</f>
        <v>0</v>
      </c>
      <c r="J83" s="26">
        <f>IF(AND(D83&gt;E83,VLOOKUP(A83,state!$A$2:$G$55,5,FALSE)=VLOOKUP(A83,state!$A$2:$G$55,7,FALSE)),E83,0)</f>
        <v>0</v>
      </c>
      <c r="K83" s="26">
        <f>IF(AND(I83=0,VLOOKUP(A83,state!$A$2:$G$55,6,FALSE)&gt;0,VLOOKUP(A83,state!$A$2:$G$55,5,FALSE)=VLOOKUP(A83,state!$A$2:$G$55,7,FALSE)),(VLOOKUP(A83,state!$A$2:$J$55,7,FALSE)-VLOOKUP(A83,state!$A$2:$J$55,10,FALSE))*E83/(VLOOKUP(A83,state!$A$2:$J$55,7,FALSE)-VLOOKUP(A83,state!$A$2:$K$55,11,FALSE)),0)</f>
        <v>0</v>
      </c>
      <c r="L83" s="27">
        <f t="shared" si="6"/>
        <v>0</v>
      </c>
      <c r="M83" s="27">
        <f t="shared" si="7"/>
        <v>0</v>
      </c>
    </row>
    <row r="84" spans="1:13" ht="12.75">
      <c r="A84" s="24" t="s">
        <v>106</v>
      </c>
      <c r="B84" s="25" t="s">
        <v>107</v>
      </c>
      <c r="C84" s="26">
        <f>'cost benchmark'!P93</f>
        <v>0</v>
      </c>
      <c r="D84" s="26">
        <f>'cost benchmark'!Q93*VLOOKUP(A84,'per line'!$A$6:$E$55,5,FALSE)</f>
        <v>0</v>
      </c>
      <c r="E84" s="26">
        <f>'cost benchmark'!F93</f>
        <v>0</v>
      </c>
      <c r="F84" s="27">
        <f t="shared" si="4"/>
        <v>0</v>
      </c>
      <c r="G84" s="26">
        <f t="shared" si="5"/>
        <v>0</v>
      </c>
      <c r="H84" s="26">
        <f>IF(VLOOKUP(A84,state!$A$2:$G$55,4,FALSE)=VLOOKUP(A84,state!$A$2:$G$55,7,FALSE),D84,0)</f>
        <v>0</v>
      </c>
      <c r="I84" s="26">
        <f>IF(AND(D84&gt;E84,VLOOKUP(A84,state!$A$2:$G$55,5,FALSE)=VLOOKUP(A84,state!$A$2:$G$55,7,FALSE)),D84,0)</f>
        <v>0</v>
      </c>
      <c r="J84" s="26">
        <f>IF(AND(D84&gt;E84,VLOOKUP(A84,state!$A$2:$G$55,5,FALSE)=VLOOKUP(A84,state!$A$2:$G$55,7,FALSE)),E84,0)</f>
        <v>0</v>
      </c>
      <c r="K84" s="26">
        <f>IF(AND(I84=0,VLOOKUP(A84,state!$A$2:$G$55,6,FALSE)&gt;0,VLOOKUP(A84,state!$A$2:$G$55,5,FALSE)=VLOOKUP(A84,state!$A$2:$G$55,7,FALSE)),(VLOOKUP(A84,state!$A$2:$J$55,7,FALSE)-VLOOKUP(A84,state!$A$2:$J$55,10,FALSE))*E84/(VLOOKUP(A84,state!$A$2:$J$55,7,FALSE)-VLOOKUP(A84,state!$A$2:$K$55,11,FALSE)),0)</f>
        <v>0</v>
      </c>
      <c r="L84" s="27">
        <f t="shared" si="6"/>
        <v>0</v>
      </c>
      <c r="M84" s="27">
        <f t="shared" si="7"/>
        <v>0</v>
      </c>
    </row>
    <row r="85" spans="1:13" ht="12.75">
      <c r="A85" s="24" t="s">
        <v>106</v>
      </c>
      <c r="B85" s="25" t="s">
        <v>108</v>
      </c>
      <c r="C85" s="26">
        <f>'cost benchmark'!P94</f>
        <v>0</v>
      </c>
      <c r="D85" s="26">
        <f>'cost benchmark'!Q94*VLOOKUP(A85,'per line'!$A$6:$E$55,5,FALSE)</f>
        <v>0</v>
      </c>
      <c r="E85" s="26">
        <f>'cost benchmark'!F94</f>
        <v>1263000</v>
      </c>
      <c r="F85" s="27">
        <f t="shared" si="4"/>
        <v>1263000</v>
      </c>
      <c r="G85" s="26">
        <f t="shared" si="5"/>
        <v>1263000</v>
      </c>
      <c r="H85" s="26">
        <f>IF(VLOOKUP(A85,state!$A$2:$G$55,4,FALSE)=VLOOKUP(A85,state!$A$2:$G$55,7,FALSE),D85,0)</f>
        <v>0</v>
      </c>
      <c r="I85" s="26">
        <f>IF(AND(D85&gt;E85,VLOOKUP(A85,state!$A$2:$G$55,5,FALSE)=VLOOKUP(A85,state!$A$2:$G$55,7,FALSE)),D85,0)</f>
        <v>0</v>
      </c>
      <c r="J85" s="26">
        <f>IF(AND(D85&gt;E85,VLOOKUP(A85,state!$A$2:$G$55,5,FALSE)=VLOOKUP(A85,state!$A$2:$G$55,7,FALSE)),E85,0)</f>
        <v>0</v>
      </c>
      <c r="K85" s="26">
        <f>IF(AND(I85=0,VLOOKUP(A85,state!$A$2:$G$55,6,FALSE)&gt;0,VLOOKUP(A85,state!$A$2:$G$55,5,FALSE)=VLOOKUP(A85,state!$A$2:$G$55,7,FALSE)),(VLOOKUP(A85,state!$A$2:$J$55,7,FALSE)-VLOOKUP(A85,state!$A$2:$J$55,10,FALSE))*E85/(VLOOKUP(A85,state!$A$2:$J$55,7,FALSE)-VLOOKUP(A85,state!$A$2:$K$55,11,FALSE)),0)</f>
        <v>1263000</v>
      </c>
      <c r="L85" s="27">
        <f t="shared" si="6"/>
        <v>1263000</v>
      </c>
      <c r="M85" s="27">
        <f t="shared" si="7"/>
        <v>0</v>
      </c>
    </row>
    <row r="86" spans="1:13" ht="12.75">
      <c r="A86" s="24" t="s">
        <v>106</v>
      </c>
      <c r="B86" s="25" t="s">
        <v>161</v>
      </c>
      <c r="C86" s="26">
        <f>'cost benchmark'!P95</f>
        <v>0</v>
      </c>
      <c r="D86" s="26">
        <f>'cost benchmark'!Q95*VLOOKUP(A86,'per line'!$A$6:$E$55,5,FALSE)</f>
        <v>0</v>
      </c>
      <c r="E86" s="26">
        <f>'cost benchmark'!F95</f>
        <v>0</v>
      </c>
      <c r="F86" s="27">
        <f t="shared" si="4"/>
        <v>0</v>
      </c>
      <c r="G86" s="26">
        <f t="shared" si="5"/>
        <v>0</v>
      </c>
      <c r="H86" s="26">
        <f>IF(VLOOKUP(A86,state!$A$2:$G$55,4,FALSE)=VLOOKUP(A86,state!$A$2:$G$55,7,FALSE),D86,0)</f>
        <v>0</v>
      </c>
      <c r="I86" s="26">
        <f>IF(AND(D86&gt;E86,VLOOKUP(A86,state!$A$2:$G$55,5,FALSE)=VLOOKUP(A86,state!$A$2:$G$55,7,FALSE)),D86,0)</f>
        <v>0</v>
      </c>
      <c r="J86" s="26">
        <f>IF(AND(D86&gt;E86,VLOOKUP(A86,state!$A$2:$G$55,5,FALSE)=VLOOKUP(A86,state!$A$2:$G$55,7,FALSE)),E86,0)</f>
        <v>0</v>
      </c>
      <c r="K86" s="26">
        <f>IF(AND(I86=0,VLOOKUP(A86,state!$A$2:$G$55,6,FALSE)&gt;0,VLOOKUP(A86,state!$A$2:$G$55,5,FALSE)=VLOOKUP(A86,state!$A$2:$G$55,7,FALSE)),(VLOOKUP(A86,state!$A$2:$J$55,7,FALSE)-VLOOKUP(A86,state!$A$2:$J$55,10,FALSE))*E86/(VLOOKUP(A86,state!$A$2:$J$55,7,FALSE)-VLOOKUP(A86,state!$A$2:$K$55,11,FALSE)),0)</f>
        <v>0</v>
      </c>
      <c r="L86" s="27">
        <f t="shared" si="6"/>
        <v>0</v>
      </c>
      <c r="M86" s="27">
        <f t="shared" si="7"/>
        <v>0</v>
      </c>
    </row>
    <row r="87" spans="1:13" ht="12.75">
      <c r="A87" s="24" t="s">
        <v>106</v>
      </c>
      <c r="B87" s="25" t="s">
        <v>109</v>
      </c>
      <c r="C87" s="26">
        <f>'cost benchmark'!P96</f>
        <v>0</v>
      </c>
      <c r="D87" s="26">
        <f>'cost benchmark'!Q96*VLOOKUP(A87,'per line'!$A$6:$E$55,5,FALSE)</f>
        <v>0</v>
      </c>
      <c r="E87" s="26">
        <f>'cost benchmark'!F96</f>
        <v>0</v>
      </c>
      <c r="F87" s="27">
        <f t="shared" si="4"/>
        <v>0</v>
      </c>
      <c r="G87" s="26">
        <f t="shared" si="5"/>
        <v>0</v>
      </c>
      <c r="H87" s="26">
        <f>IF(VLOOKUP(A87,state!$A$2:$G$55,4,FALSE)=VLOOKUP(A87,state!$A$2:$G$55,7,FALSE),D87,0)</f>
        <v>0</v>
      </c>
      <c r="I87" s="26">
        <f>IF(AND(D87&gt;E87,VLOOKUP(A87,state!$A$2:$G$55,5,FALSE)=VLOOKUP(A87,state!$A$2:$G$55,7,FALSE)),D87,0)</f>
        <v>0</v>
      </c>
      <c r="J87" s="26">
        <f>IF(AND(D87&gt;E87,VLOOKUP(A87,state!$A$2:$G$55,5,FALSE)=VLOOKUP(A87,state!$A$2:$G$55,7,FALSE)),E87,0)</f>
        <v>0</v>
      </c>
      <c r="K87" s="26">
        <f>IF(AND(I87=0,VLOOKUP(A87,state!$A$2:$G$55,6,FALSE)&gt;0,VLOOKUP(A87,state!$A$2:$G$55,5,FALSE)=VLOOKUP(A87,state!$A$2:$G$55,7,FALSE)),(VLOOKUP(A87,state!$A$2:$J$55,7,FALSE)-VLOOKUP(A87,state!$A$2:$J$55,10,FALSE))*E87/(VLOOKUP(A87,state!$A$2:$J$55,7,FALSE)-VLOOKUP(A87,state!$A$2:$K$55,11,FALSE)),0)</f>
        <v>0</v>
      </c>
      <c r="L87" s="27">
        <f t="shared" si="6"/>
        <v>0</v>
      </c>
      <c r="M87" s="27">
        <f t="shared" si="7"/>
        <v>0</v>
      </c>
    </row>
    <row r="88" spans="1:13" ht="12.75">
      <c r="A88" s="24" t="s">
        <v>110</v>
      </c>
      <c r="B88" s="25" t="s">
        <v>111</v>
      </c>
      <c r="C88" s="26">
        <f>'cost benchmark'!P97</f>
        <v>0</v>
      </c>
      <c r="D88" s="26">
        <f>'cost benchmark'!Q97*VLOOKUP(A88,'per line'!$A$6:$E$55,5,FALSE)</f>
        <v>0</v>
      </c>
      <c r="E88" s="26">
        <f>'cost benchmark'!F97</f>
        <v>1454568</v>
      </c>
      <c r="F88" s="27">
        <f t="shared" si="4"/>
        <v>1454568</v>
      </c>
      <c r="G88" s="26">
        <f t="shared" si="5"/>
        <v>1454568</v>
      </c>
      <c r="H88" s="26">
        <f>IF(VLOOKUP(A88,state!$A$2:$G$55,4,FALSE)=VLOOKUP(A88,state!$A$2:$G$55,7,FALSE),D88,0)</f>
        <v>0</v>
      </c>
      <c r="I88" s="26">
        <f>IF(AND(D88&gt;E88,VLOOKUP(A88,state!$A$2:$G$55,5,FALSE)=VLOOKUP(A88,state!$A$2:$G$55,7,FALSE)),D88,0)</f>
        <v>0</v>
      </c>
      <c r="J88" s="26">
        <f>IF(AND(D88&gt;E88,VLOOKUP(A88,state!$A$2:$G$55,5,FALSE)=VLOOKUP(A88,state!$A$2:$G$55,7,FALSE)),E88,0)</f>
        <v>0</v>
      </c>
      <c r="K88" s="26">
        <f>IF(AND(I88=0,VLOOKUP(A88,state!$A$2:$G$55,6,FALSE)&gt;0,VLOOKUP(A88,state!$A$2:$G$55,5,FALSE)=VLOOKUP(A88,state!$A$2:$G$55,7,FALSE)),(VLOOKUP(A88,state!$A$2:$J$55,7,FALSE)-VLOOKUP(A88,state!$A$2:$J$55,10,FALSE))*E88/(VLOOKUP(A88,state!$A$2:$J$55,7,FALSE)-VLOOKUP(A88,state!$A$2:$K$55,11,FALSE)),0)</f>
        <v>1454568</v>
      </c>
      <c r="L88" s="27">
        <f t="shared" si="6"/>
        <v>1454568</v>
      </c>
      <c r="M88" s="27">
        <f t="shared" si="7"/>
        <v>0</v>
      </c>
    </row>
    <row r="89" spans="1:13" ht="12.75">
      <c r="A89" s="24" t="s">
        <v>112</v>
      </c>
      <c r="B89" s="25" t="s">
        <v>151</v>
      </c>
      <c r="C89" s="26">
        <f>'cost benchmark'!P98</f>
        <v>0</v>
      </c>
      <c r="D89" s="26">
        <f>'cost benchmark'!Q98*VLOOKUP(A89,'per line'!$A$6:$E$55,5,FALSE)</f>
        <v>0</v>
      </c>
      <c r="E89" s="26">
        <f>'cost benchmark'!F98</f>
        <v>0</v>
      </c>
      <c r="F89" s="27">
        <f t="shared" si="4"/>
        <v>0</v>
      </c>
      <c r="G89" s="26">
        <f t="shared" si="5"/>
        <v>0</v>
      </c>
      <c r="H89" s="26">
        <f>IF(VLOOKUP(A89,state!$A$2:$G$55,4,FALSE)=VLOOKUP(A89,state!$A$2:$G$55,7,FALSE),D89,0)</f>
        <v>0</v>
      </c>
      <c r="I89" s="26">
        <f>IF(AND(D89&gt;E89,VLOOKUP(A89,state!$A$2:$G$55,5,FALSE)=VLOOKUP(A89,state!$A$2:$G$55,7,FALSE)),D89,0)</f>
        <v>0</v>
      </c>
      <c r="J89" s="26">
        <f>IF(AND(D89&gt;E89,VLOOKUP(A89,state!$A$2:$G$55,5,FALSE)=VLOOKUP(A89,state!$A$2:$G$55,7,FALSE)),E89,0)</f>
        <v>0</v>
      </c>
      <c r="K89" s="26">
        <f>IF(AND(I89=0,VLOOKUP(A89,state!$A$2:$G$55,6,FALSE)&gt;0,VLOOKUP(A89,state!$A$2:$G$55,5,FALSE)=VLOOKUP(A89,state!$A$2:$G$55,7,FALSE)),(VLOOKUP(A89,state!$A$2:$J$55,7,FALSE)-VLOOKUP(A89,state!$A$2:$J$55,10,FALSE))*E89/(VLOOKUP(A89,state!$A$2:$J$55,7,FALSE)-VLOOKUP(A89,state!$A$2:$K$55,11,FALSE)),0)</f>
        <v>0</v>
      </c>
      <c r="L89" s="27">
        <f t="shared" si="6"/>
        <v>0</v>
      </c>
      <c r="M89" s="27">
        <f t="shared" si="7"/>
        <v>0</v>
      </c>
    </row>
    <row r="90" spans="1:13" ht="12.75">
      <c r="A90" s="24" t="s">
        <v>112</v>
      </c>
      <c r="B90" s="25" t="s">
        <v>113</v>
      </c>
      <c r="C90" s="26">
        <f>'cost benchmark'!P99</f>
        <v>0</v>
      </c>
      <c r="D90" s="26">
        <f>'cost benchmark'!Q99*VLOOKUP(A90,'per line'!$A$6:$E$55,5,FALSE)</f>
        <v>0</v>
      </c>
      <c r="E90" s="26">
        <f>'cost benchmark'!F99</f>
        <v>0</v>
      </c>
      <c r="F90" s="27">
        <f t="shared" si="4"/>
        <v>0</v>
      </c>
      <c r="G90" s="26">
        <f t="shared" si="5"/>
        <v>0</v>
      </c>
      <c r="H90" s="26">
        <f>IF(VLOOKUP(A90,state!$A$2:$G$55,4,FALSE)=VLOOKUP(A90,state!$A$2:$G$55,7,FALSE),D90,0)</f>
        <v>0</v>
      </c>
      <c r="I90" s="26">
        <f>IF(AND(D90&gt;E90,VLOOKUP(A90,state!$A$2:$G$55,5,FALSE)=VLOOKUP(A90,state!$A$2:$G$55,7,FALSE)),D90,0)</f>
        <v>0</v>
      </c>
      <c r="J90" s="26">
        <f>IF(AND(D90&gt;E90,VLOOKUP(A90,state!$A$2:$G$55,5,FALSE)=VLOOKUP(A90,state!$A$2:$G$55,7,FALSE)),E90,0)</f>
        <v>0</v>
      </c>
      <c r="K90" s="26">
        <f>IF(AND(I90=0,VLOOKUP(A90,state!$A$2:$G$55,6,FALSE)&gt;0,VLOOKUP(A90,state!$A$2:$G$55,5,FALSE)=VLOOKUP(A90,state!$A$2:$G$55,7,FALSE)),(VLOOKUP(A90,state!$A$2:$J$55,7,FALSE)-VLOOKUP(A90,state!$A$2:$J$55,10,FALSE))*E90/(VLOOKUP(A90,state!$A$2:$J$55,7,FALSE)-VLOOKUP(A90,state!$A$2:$K$55,11,FALSE)),0)</f>
        <v>0</v>
      </c>
      <c r="L90" s="27">
        <f t="shared" si="6"/>
        <v>0</v>
      </c>
      <c r="M90" s="27">
        <f t="shared" si="7"/>
        <v>0</v>
      </c>
    </row>
    <row r="91" spans="1:13" ht="12.75">
      <c r="A91" s="24" t="s">
        <v>114</v>
      </c>
      <c r="B91" s="25" t="s">
        <v>152</v>
      </c>
      <c r="C91" s="26">
        <f>'cost benchmark'!P100</f>
        <v>0</v>
      </c>
      <c r="D91" s="26">
        <f>'cost benchmark'!Q100*VLOOKUP(A91,'per line'!$A$6:$E$55,5,FALSE)</f>
        <v>0</v>
      </c>
      <c r="E91" s="26">
        <f>'cost benchmark'!F100</f>
        <v>0</v>
      </c>
      <c r="F91" s="27">
        <f t="shared" si="4"/>
        <v>0</v>
      </c>
      <c r="G91" s="26">
        <f t="shared" si="5"/>
        <v>0</v>
      </c>
      <c r="H91" s="26">
        <f>IF(VLOOKUP(A91,state!$A$2:$G$55,4,FALSE)=VLOOKUP(A91,state!$A$2:$G$55,7,FALSE),D91,0)</f>
        <v>0</v>
      </c>
      <c r="I91" s="26">
        <f>IF(AND(D91&gt;E91,VLOOKUP(A91,state!$A$2:$G$55,5,FALSE)=VLOOKUP(A91,state!$A$2:$G$55,7,FALSE)),D91,0)</f>
        <v>0</v>
      </c>
      <c r="J91" s="26">
        <f>IF(AND(D91&gt;E91,VLOOKUP(A91,state!$A$2:$G$55,5,FALSE)=VLOOKUP(A91,state!$A$2:$G$55,7,FALSE)),E91,0)</f>
        <v>0</v>
      </c>
      <c r="K91" s="26">
        <f>IF(AND(I91=0,VLOOKUP(A91,state!$A$2:$G$55,6,FALSE)&gt;0,VLOOKUP(A91,state!$A$2:$G$55,5,FALSE)=VLOOKUP(A91,state!$A$2:$G$55,7,FALSE)),(VLOOKUP(A91,state!$A$2:$J$55,7,FALSE)-VLOOKUP(A91,state!$A$2:$J$55,10,FALSE))*E91/(VLOOKUP(A91,state!$A$2:$J$55,7,FALSE)-VLOOKUP(A91,state!$A$2:$K$55,11,FALSE)),0)</f>
        <v>0</v>
      </c>
      <c r="L91" s="27">
        <f t="shared" si="6"/>
        <v>0</v>
      </c>
      <c r="M91" s="27">
        <f t="shared" si="7"/>
        <v>0</v>
      </c>
    </row>
    <row r="92" spans="1:13" ht="12.75">
      <c r="A92" s="24" t="s">
        <v>114</v>
      </c>
      <c r="B92" s="25" t="s">
        <v>115</v>
      </c>
      <c r="C92" s="26">
        <f>'cost benchmark'!P101</f>
        <v>0</v>
      </c>
      <c r="D92" s="26">
        <f>'cost benchmark'!Q101*VLOOKUP(A92,'per line'!$A$6:$E$55,5,FALSE)</f>
        <v>0</v>
      </c>
      <c r="E92" s="26">
        <f>'cost benchmark'!F101</f>
        <v>0</v>
      </c>
      <c r="F92" s="27">
        <f t="shared" si="4"/>
        <v>0</v>
      </c>
      <c r="G92" s="26">
        <f t="shared" si="5"/>
        <v>0</v>
      </c>
      <c r="H92" s="26">
        <f>IF(VLOOKUP(A92,state!$A$2:$G$55,4,FALSE)=VLOOKUP(A92,state!$A$2:$G$55,7,FALSE),D92,0)</f>
        <v>0</v>
      </c>
      <c r="I92" s="26">
        <f>IF(AND(D92&gt;E92,VLOOKUP(A92,state!$A$2:$G$55,5,FALSE)=VLOOKUP(A92,state!$A$2:$G$55,7,FALSE)),D92,0)</f>
        <v>0</v>
      </c>
      <c r="J92" s="26">
        <f>IF(AND(D92&gt;E92,VLOOKUP(A92,state!$A$2:$G$55,5,FALSE)=VLOOKUP(A92,state!$A$2:$G$55,7,FALSE)),E92,0)</f>
        <v>0</v>
      </c>
      <c r="K92" s="26">
        <f>IF(AND(I92=0,VLOOKUP(A92,state!$A$2:$G$55,6,FALSE)&gt;0,VLOOKUP(A92,state!$A$2:$G$55,5,FALSE)=VLOOKUP(A92,state!$A$2:$G$55,7,FALSE)),(VLOOKUP(A92,state!$A$2:$J$55,7,FALSE)-VLOOKUP(A92,state!$A$2:$J$55,10,FALSE))*E92/(VLOOKUP(A92,state!$A$2:$J$55,7,FALSE)-VLOOKUP(A92,state!$A$2:$K$55,11,FALSE)),0)</f>
        <v>0</v>
      </c>
      <c r="L92" s="27">
        <f t="shared" si="6"/>
        <v>0</v>
      </c>
      <c r="M92" s="27">
        <f t="shared" si="7"/>
        <v>0</v>
      </c>
    </row>
    <row r="93" spans="1:13" ht="12.75">
      <c r="A93" s="24" t="s">
        <v>116</v>
      </c>
      <c r="B93" s="25" t="s">
        <v>117</v>
      </c>
      <c r="C93" s="26">
        <f>'cost benchmark'!P102</f>
        <v>0</v>
      </c>
      <c r="D93" s="26">
        <f>'cost benchmark'!Q102*VLOOKUP(A93,'per line'!$A$6:$E$55,5,FALSE)</f>
        <v>0</v>
      </c>
      <c r="E93" s="26">
        <f>'cost benchmark'!F102</f>
        <v>1673112</v>
      </c>
      <c r="F93" s="27">
        <f t="shared" si="4"/>
        <v>1673112</v>
      </c>
      <c r="G93" s="26">
        <f t="shared" si="5"/>
        <v>1673112</v>
      </c>
      <c r="H93" s="26">
        <f>IF(VLOOKUP(A93,state!$A$2:$G$55,4,FALSE)=VLOOKUP(A93,state!$A$2:$G$55,7,FALSE),D93,0)</f>
        <v>0</v>
      </c>
      <c r="I93" s="26">
        <f>IF(AND(D93&gt;E93,VLOOKUP(A93,state!$A$2:$G$55,5,FALSE)=VLOOKUP(A93,state!$A$2:$G$55,7,FALSE)),D93,0)</f>
        <v>0</v>
      </c>
      <c r="J93" s="26">
        <f>IF(AND(D93&gt;E93,VLOOKUP(A93,state!$A$2:$G$55,5,FALSE)=VLOOKUP(A93,state!$A$2:$G$55,7,FALSE)),E93,0)</f>
        <v>0</v>
      </c>
      <c r="K93" s="26">
        <f>IF(AND(I93=0,VLOOKUP(A93,state!$A$2:$G$55,6,FALSE)&gt;0,VLOOKUP(A93,state!$A$2:$G$55,5,FALSE)=VLOOKUP(A93,state!$A$2:$G$55,7,FALSE)),(VLOOKUP(A93,state!$A$2:$J$55,7,FALSE)-VLOOKUP(A93,state!$A$2:$J$55,10,FALSE))*E93/(VLOOKUP(A93,state!$A$2:$J$55,7,FALSE)-VLOOKUP(A93,state!$A$2:$K$55,11,FALSE)),0)</f>
        <v>1673112</v>
      </c>
      <c r="L93" s="27">
        <f t="shared" si="6"/>
        <v>1673112</v>
      </c>
      <c r="M93" s="27">
        <f t="shared" si="7"/>
        <v>0</v>
      </c>
    </row>
    <row r="94" spans="1:13" ht="12.75">
      <c r="A94" s="24" t="s">
        <v>118</v>
      </c>
      <c r="B94" s="25" t="s">
        <v>119</v>
      </c>
      <c r="C94" s="26">
        <f>'cost benchmark'!P103</f>
        <v>0</v>
      </c>
      <c r="D94" s="26">
        <f>'cost benchmark'!Q103*VLOOKUP(A94,'per line'!$A$6:$E$55,5,FALSE)</f>
        <v>0</v>
      </c>
      <c r="E94" s="26">
        <f>'cost benchmark'!F103</f>
        <v>4445856</v>
      </c>
      <c r="F94" s="27">
        <f t="shared" si="4"/>
        <v>4445856</v>
      </c>
      <c r="G94" s="26">
        <f t="shared" si="5"/>
        <v>4445856</v>
      </c>
      <c r="H94" s="26">
        <f>IF(VLOOKUP(A94,state!$A$2:$G$55,4,FALSE)=VLOOKUP(A94,state!$A$2:$G$55,7,FALSE),D94,0)</f>
        <v>0</v>
      </c>
      <c r="I94" s="26">
        <f>IF(AND(D94&gt;E94,VLOOKUP(A94,state!$A$2:$G$55,5,FALSE)=VLOOKUP(A94,state!$A$2:$G$55,7,FALSE)),D94,0)</f>
        <v>0</v>
      </c>
      <c r="J94" s="26">
        <f>IF(AND(D94&gt;E94,VLOOKUP(A94,state!$A$2:$G$55,5,FALSE)=VLOOKUP(A94,state!$A$2:$G$55,7,FALSE)),E94,0)</f>
        <v>0</v>
      </c>
      <c r="K94" s="26">
        <f>IF(AND(I94=0,VLOOKUP(A94,state!$A$2:$G$55,6,FALSE)&gt;0,VLOOKUP(A94,state!$A$2:$G$55,5,FALSE)=VLOOKUP(A94,state!$A$2:$G$55,7,FALSE)),(VLOOKUP(A94,state!$A$2:$J$55,7,FALSE)-VLOOKUP(A94,state!$A$2:$J$55,10,FALSE))*E94/(VLOOKUP(A94,state!$A$2:$J$55,7,FALSE)-VLOOKUP(A94,state!$A$2:$K$55,11,FALSE)),0)</f>
        <v>4445856</v>
      </c>
      <c r="L94" s="27">
        <f t="shared" si="6"/>
        <v>4445856</v>
      </c>
      <c r="M94" s="27">
        <f t="shared" si="7"/>
        <v>0</v>
      </c>
    </row>
    <row r="95" spans="1:13" ht="12.75">
      <c r="A95" s="50" t="s">
        <v>121</v>
      </c>
      <c r="B95" s="19"/>
      <c r="C95" s="27">
        <f aca="true" t="shared" si="8" ref="C95:M95">SUM(C4:C94)</f>
        <v>0</v>
      </c>
      <c r="D95" s="27">
        <f t="shared" si="8"/>
        <v>0</v>
      </c>
      <c r="E95" s="27">
        <f t="shared" si="8"/>
        <v>83483016</v>
      </c>
      <c r="F95" s="27">
        <f t="shared" si="8"/>
        <v>83483016</v>
      </c>
      <c r="G95" s="27">
        <f t="shared" si="8"/>
        <v>83483016</v>
      </c>
      <c r="H95" s="26">
        <f t="shared" si="8"/>
        <v>0</v>
      </c>
      <c r="I95" s="26"/>
      <c r="J95" s="26"/>
      <c r="K95" s="26">
        <f>SUM(K4:K94)</f>
        <v>83483016</v>
      </c>
      <c r="L95" s="27">
        <f t="shared" si="8"/>
        <v>83483016</v>
      </c>
      <c r="M95" s="27">
        <f t="shared" si="8"/>
        <v>0</v>
      </c>
    </row>
    <row r="97" spans="1:13" ht="12.75">
      <c r="A97" s="51"/>
      <c r="B97" s="49"/>
      <c r="C97" s="49"/>
      <c r="D97" s="49"/>
      <c r="E97" s="49"/>
      <c r="F97" s="49"/>
      <c r="G97" s="49"/>
      <c r="H97" s="49"/>
      <c r="I97" s="49"/>
      <c r="J97" s="49"/>
      <c r="K97" s="49"/>
      <c r="L97" s="49"/>
      <c r="M97" s="49"/>
    </row>
    <row r="98" spans="1:13" ht="12.75">
      <c r="A98" s="51"/>
      <c r="B98" s="49"/>
      <c r="C98" s="49"/>
      <c r="D98" s="49"/>
      <c r="E98" s="49"/>
      <c r="F98" s="49"/>
      <c r="G98" s="49"/>
      <c r="H98" s="49"/>
      <c r="I98" s="49"/>
      <c r="J98" s="49"/>
      <c r="K98" s="49"/>
      <c r="L98" s="49"/>
      <c r="M98" s="49"/>
    </row>
    <row r="99" spans="1:13" ht="12.75">
      <c r="A99" s="51"/>
      <c r="B99" s="49"/>
      <c r="C99" s="49"/>
      <c r="D99" s="49"/>
      <c r="E99" s="49"/>
      <c r="F99" s="49"/>
      <c r="G99" s="49"/>
      <c r="H99" s="49"/>
      <c r="I99" s="49"/>
      <c r="J99" s="49"/>
      <c r="K99" s="49"/>
      <c r="L99" s="49"/>
      <c r="M99" s="49"/>
    </row>
    <row r="100" spans="3:13" ht="12.75">
      <c r="C100" s="49"/>
      <c r="D100" s="49"/>
      <c r="E100" s="49"/>
      <c r="F100" s="49"/>
      <c r="G100" s="49"/>
      <c r="H100" s="49"/>
      <c r="I100" s="49"/>
      <c r="J100" s="49"/>
      <c r="K100" s="49"/>
      <c r="L100" s="49"/>
      <c r="M100" s="49"/>
    </row>
    <row r="101" spans="3:13" ht="12.75">
      <c r="C101" s="49"/>
      <c r="D101" s="49"/>
      <c r="E101" s="49"/>
      <c r="F101" s="49"/>
      <c r="G101" s="49"/>
      <c r="H101" s="49"/>
      <c r="I101" s="49"/>
      <c r="J101" s="49"/>
      <c r="K101" s="49"/>
      <c r="L101" s="49"/>
      <c r="M101" s="49"/>
    </row>
  </sheetData>
  <printOptions headings="1" horizontalCentered="1" verticalCentered="1"/>
  <pageMargins left="0.75" right="0.75" top="1" bottom="1" header="0.5" footer="0.5"/>
  <pageSetup horizontalDpi="600" verticalDpi="600" orientation="landscape" pageOrder="overThenDown" r:id="rId1"/>
  <headerFooter alignWithMargins="0">
    <oddHeader>&amp;C&amp;"Arial,Bold"&amp;12Study Area Support Worksheet</oddHeader>
    <oddFooter>&amp;L&amp;D &amp;T &amp;CPage &amp;P of &amp;N&amp;R&amp;F</oddFooter>
  </headerFooter>
  <rowBreaks count="1" manualBreakCount="1">
    <brk id="8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LOUBE</dc:creator>
  <cp:keywords/>
  <dc:description/>
  <cp:lastModifiedBy>Joseph Banscher</cp:lastModifiedBy>
  <cp:lastPrinted>1999-06-15T17:43:24Z</cp:lastPrinted>
  <dcterms:created xsi:type="dcterms:W3CDTF">1999-06-01T15:40:27Z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